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rfleurke/Documents/Gees/Energiecoöperatie/"/>
    </mc:Choice>
  </mc:AlternateContent>
  <xr:revisionPtr revIDLastSave="0" documentId="13_ncr:1_{69B21021-6240-EC43-AAD3-C0D62EA59F69}" xr6:coauthVersionLast="36" xr6:coauthVersionMax="36" xr10:uidLastSave="{00000000-0000-0000-0000-000000000000}"/>
  <workbookProtection workbookAlgorithmName="SHA-512" workbookHashValue="CuI0yCAO4mmc/+j15Ccwjgb9kgZBCPrgazpxVATu4N35BbVLVNruICL4qry1y//NB3OC44zBqMSzFSQse6RC5w==" workbookSaltValue="JksDdc50CG4iqdi6xAZqWA==" workbookSpinCount="100000" lockStructure="1"/>
  <bookViews>
    <workbookView xWindow="0" yWindow="460" windowWidth="27560" windowHeight="16200" tabRatio="500" xr2:uid="{00000000-000D-0000-FFFF-FFFF00000000}"/>
  </bookViews>
  <sheets>
    <sheet name="Klantkeuze" sheetId="6" r:id="rId1"/>
    <sheet name="Aanmeldformulier" sheetId="7" state="hidden" r:id="rId2"/>
    <sheet name="Investeringsbegroting" sheetId="1" state="hidden" r:id="rId3"/>
    <sheet name="Exploitatiebegroting" sheetId="3" state="hidden" r:id="rId4"/>
    <sheet name="Perspectief leden" sheetId="4" state="hidden" r:id="rId5"/>
    <sheet name="datavelden" sheetId="5" state="hidden" r:id="rId6"/>
    <sheet name="Uitgaven" sheetId="10" state="hidden" r:id="rId7"/>
  </sheets>
  <definedNames>
    <definedName name="_xlnm.Print_Area" localSheetId="1">Aanmeldformulier!$A$1:$I$37</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8" i="7" l="1"/>
  <c r="D15" i="6" l="1"/>
  <c r="H13" i="7" s="1"/>
  <c r="D4" i="1"/>
  <c r="B18" i="1" s="1"/>
  <c r="D22" i="1"/>
  <c r="D4" i="10" l="1"/>
  <c r="G4" i="10" s="1"/>
  <c r="G3" i="10"/>
  <c r="C3" i="10"/>
  <c r="G2" i="10"/>
  <c r="C31" i="5"/>
  <c r="C30" i="5"/>
  <c r="B28" i="5"/>
  <c r="B25" i="5"/>
  <c r="B21" i="5"/>
  <c r="B18" i="5"/>
  <c r="D15" i="5"/>
  <c r="B15" i="5"/>
  <c r="B7" i="4" s="1"/>
  <c r="B14" i="5"/>
  <c r="B13" i="5"/>
  <c r="B12" i="5"/>
  <c r="D7" i="6" s="1"/>
  <c r="B11" i="5"/>
  <c r="B3" i="5" s="1"/>
  <c r="B4" i="5" s="1"/>
  <c r="B5" i="4"/>
  <c r="C4" i="4"/>
  <c r="C3" i="4"/>
  <c r="C17" i="3"/>
  <c r="B6" i="3"/>
  <c r="B19" i="1"/>
  <c r="B29" i="1" s="1"/>
  <c r="B31" i="1" s="1"/>
  <c r="D11" i="1"/>
  <c r="D10" i="1"/>
  <c r="D8" i="1"/>
  <c r="D7" i="1"/>
  <c r="C6" i="1"/>
  <c r="D6" i="1" s="1"/>
  <c r="C4" i="1"/>
  <c r="D14" i="6"/>
  <c r="H12" i="7" s="1"/>
  <c r="D13" i="6"/>
  <c r="D17" i="6" s="1"/>
  <c r="D18" i="6" l="1"/>
  <c r="D19" i="6" s="1"/>
  <c r="H17" i="7" s="1"/>
  <c r="H9" i="7"/>
  <c r="H15" i="7"/>
  <c r="H18" i="7" s="1"/>
  <c r="H14" i="7"/>
  <c r="D20" i="6"/>
  <c r="B9" i="4"/>
  <c r="B10" i="4" s="1"/>
  <c r="E4" i="10"/>
  <c r="B6" i="4"/>
  <c r="B11" i="4"/>
  <c r="D16" i="6"/>
  <c r="C16" i="3"/>
  <c r="C19" i="3" s="1"/>
  <c r="H16" i="7" l="1"/>
  <c r="C22" i="3"/>
  <c r="C33" i="1"/>
  <c r="B21" i="1" l="1"/>
  <c r="C30" i="1" s="1"/>
  <c r="B23" i="5"/>
  <c r="C15" i="1" s="1"/>
  <c r="C22" i="1" s="1"/>
  <c r="B22" i="5"/>
  <c r="B13" i="3" s="1"/>
  <c r="B19" i="3" s="1"/>
  <c r="B22" i="1"/>
  <c r="C25" i="1" l="1"/>
  <c r="B20" i="3"/>
  <c r="B21" i="3" s="1"/>
  <c r="D25" i="1" l="1"/>
  <c r="C26" i="1"/>
  <c r="C27" i="1" s="1"/>
  <c r="B22" i="3"/>
  <c r="C31" i="1" l="1"/>
</calcChain>
</file>

<file path=xl/sharedStrings.xml><?xml version="1.0" encoding="utf-8"?>
<sst xmlns="http://schemas.openxmlformats.org/spreadsheetml/2006/main" count="199" uniqueCount="174">
  <si>
    <t>juridische kosten</t>
  </si>
  <si>
    <t>ondersteuning</t>
  </si>
  <si>
    <t>baten</t>
  </si>
  <si>
    <t>lasten</t>
  </si>
  <si>
    <t>totaal</t>
  </si>
  <si>
    <t>omschrijving</t>
  </si>
  <si>
    <t>aansluitkosten netbeheerder</t>
  </si>
  <si>
    <t>sterkteberekening</t>
  </si>
  <si>
    <t>exploitatiebegroting</t>
  </si>
  <si>
    <t>uitgaven</t>
  </si>
  <si>
    <t>inkomsten</t>
  </si>
  <si>
    <t>aansprakelijkheidsverzekering</t>
  </si>
  <si>
    <t>opstalverzekering</t>
  </si>
  <si>
    <t>bankkosten</t>
  </si>
  <si>
    <t>netaansluitingskosten</t>
  </si>
  <si>
    <t>administratiekosten</t>
  </si>
  <si>
    <t>Kwh</t>
  </si>
  <si>
    <t>prijs per certificaat</t>
  </si>
  <si>
    <t>Investeringsbegroting</t>
  </si>
  <si>
    <t xml:space="preserve">marketing en communicatie </t>
  </si>
  <si>
    <t>energiebelasting gemiddeld</t>
  </si>
  <si>
    <t>stroom verkoopprijs per Kwh</t>
  </si>
  <si>
    <t>Wp per paneel</t>
  </si>
  <si>
    <t>teruggave energiebelasting per certificaat 1-5 jaar</t>
  </si>
  <si>
    <t>teruggave energiebelasting per certificaat 5-10 jaar</t>
  </si>
  <si>
    <t>teruggave energiebelasting per certificaat 10-15 jaar</t>
  </si>
  <si>
    <t>lidmaatschapskosten 15 jaar</t>
  </si>
  <si>
    <t>subtotaal</t>
  </si>
  <si>
    <t xml:space="preserve">aantal panelen </t>
  </si>
  <si>
    <t>Aankoop panelen incl plaatsing</t>
  </si>
  <si>
    <t>vergoeding dakeigenaar</t>
  </si>
  <si>
    <t>opbrengst per certificaat na 15 jaar</t>
  </si>
  <si>
    <t>Perspectief leden met certificaat</t>
  </si>
  <si>
    <t>Rendement per jaar</t>
  </si>
  <si>
    <t>kosten</t>
  </si>
  <si>
    <t>opbrengsten</t>
  </si>
  <si>
    <t>Rendement in terug verdien tijd</t>
  </si>
  <si>
    <t>maximaal 10 jaar en 50% van de totale investering</t>
  </si>
  <si>
    <t>1 - 10 jaar</t>
  </si>
  <si>
    <t>in 10 jaar terug te betalen</t>
  </si>
  <si>
    <t>Stap 2</t>
  </si>
  <si>
    <t>Stap 3</t>
  </si>
  <si>
    <t>Hier ziet u wat uw keuze voor stroomopwekking en deelname in de energiecoöperatie u oplevert</t>
  </si>
  <si>
    <t>Ik kies voor ….</t>
  </si>
  <si>
    <t>Op grond van uw opgave is ons advies om met maximaal ….</t>
  </si>
  <si>
    <t xml:space="preserve"> Vul hiernaast in het groene vak uw gemiddelde jaarverbruik in. </t>
  </si>
  <si>
    <t>accountantskosten</t>
  </si>
  <si>
    <t>((aantal panelen * Wp)/230)/3</t>
  </si>
  <si>
    <t>1,09/2 per paneel per jaar</t>
  </si>
  <si>
    <t>garantie-afkoop</t>
  </si>
  <si>
    <t>0,5% degradatie per jaar, start op 90% (na 1e jaar bekend ivm dakhoek en zonrichting)</t>
  </si>
  <si>
    <t>Wp opbrengst per certificaat / gemiddeld 1e vijf jaar</t>
  </si>
  <si>
    <t>opbrengst per certificaat / gemiddeld 5 - 10 jaar</t>
  </si>
  <si>
    <t>opbrengst per certificaat / gemiddeld 10-15 jaar</t>
  </si>
  <si>
    <t>lidmaatschap Drentse Kei</t>
  </si>
  <si>
    <t>rente DEO 2,3% per certificaat (klantperspectief)</t>
  </si>
  <si>
    <t>kosten inschrijving KvK</t>
  </si>
  <si>
    <t>wijzigingsveld basiscontributie per paneel</t>
  </si>
  <si>
    <t>Wp prijs per paneel</t>
  </si>
  <si>
    <t>schatting, offerte volgt nog</t>
  </si>
  <si>
    <t>aflossing per jaar aan DEO</t>
  </si>
  <si>
    <t>80 Amp aansluitingstoets</t>
  </si>
  <si>
    <t>gemiddelde schoonmaakkosten 1x per 2 jaar</t>
  </si>
  <si>
    <t>Resultaat  coöperatie</t>
  </si>
  <si>
    <t>Overige rekenvelden voor flyer gebaseerd op afgeronde getallen</t>
  </si>
  <si>
    <t xml:space="preserve">uitgifte aantal certificaten verkoop </t>
  </si>
  <si>
    <t>rente DEO 2,3% per jaar Geeser stroom</t>
  </si>
  <si>
    <t>aflossing per certificaat  R + afl (klantperspectief)</t>
  </si>
  <si>
    <t>uitgifte aantal certificaten R + afl</t>
  </si>
  <si>
    <t>prijs per certificaat R + afl incl investeringskosten</t>
  </si>
  <si>
    <t>uitgifte certificaten verkoop</t>
  </si>
  <si>
    <t>verkoop stroom per jaar (prognose 1e vijf jaar)</t>
  </si>
  <si>
    <t xml:space="preserve">certificaten deel te nemen. De verwachte opbrengst blijft dan iets onder uw gemiddelde jaarverbruik. </t>
  </si>
  <si>
    <t>Bepaal hoeveel kW aan stroom u wilt opwekken.</t>
  </si>
  <si>
    <t>btw</t>
  </si>
  <si>
    <t>Voucher 1</t>
  </si>
  <si>
    <t>Voucher 2, éénmalige kosten bij inschrijving</t>
  </si>
  <si>
    <t>Voucher 2</t>
  </si>
  <si>
    <t>rente en aflossing DEO panelen</t>
  </si>
  <si>
    <t>rente kortdurende lening DEO btw</t>
  </si>
  <si>
    <t>rente DEO 2,3% btw lening 4 maanden</t>
  </si>
  <si>
    <t>Voorlopige balans</t>
  </si>
  <si>
    <t>credit</t>
  </si>
  <si>
    <t>debet</t>
  </si>
  <si>
    <t>2x Seubers; boekje + drukkosten; 2x uitnodiging</t>
  </si>
  <si>
    <t>aansluiting en kabel</t>
  </si>
  <si>
    <t>inleg mutatiefonds en bijdrage investeringskosten per certificaat</t>
  </si>
  <si>
    <t xml:space="preserve">Seubers </t>
  </si>
  <si>
    <t>Ecoop</t>
  </si>
  <si>
    <t>EDO print</t>
  </si>
  <si>
    <t>Crediteur</t>
  </si>
  <si>
    <t>datum betalingsopdracht</t>
  </si>
  <si>
    <t>bedrag</t>
  </si>
  <si>
    <t>toelichting</t>
  </si>
  <si>
    <t>50% van totaal 3.025</t>
  </si>
  <si>
    <t>betaald</t>
  </si>
  <si>
    <t>(((37,01*15)-30-368)/(3,68+0,3))/15 ??</t>
  </si>
  <si>
    <t xml:space="preserve">  </t>
  </si>
  <si>
    <t>BTW%</t>
  </si>
  <si>
    <t>?</t>
  </si>
  <si>
    <t>(B7*((90+87,5)/2)%)</t>
  </si>
  <si>
    <t>(B7*((87,5+85)/2)%)</t>
  </si>
  <si>
    <t>(B7*((85+82,5)/2)%)</t>
  </si>
  <si>
    <t>Afname opbrengst ivm degradatie opbrengst.</t>
  </si>
  <si>
    <t>PER JAAR</t>
  </si>
  <si>
    <r>
      <t xml:space="preserve">optie is meer zelf doen, welk lid? </t>
    </r>
    <r>
      <rPr>
        <sz val="9"/>
        <color rgb="FFFF0000"/>
        <rFont val="Arial"/>
        <family val="2"/>
      </rPr>
      <t>Wat?</t>
    </r>
  </si>
  <si>
    <t xml:space="preserve">ivm koop? Nee, was bedoeld als basis voor de  cooperatie ipv inleggeld. Kon ook mee 'gespeeld worden'. </t>
  </si>
  <si>
    <t>Nota Notaris 507,74 (1 okt 2018); opstalovereenkomst</t>
  </si>
  <si>
    <t>Voucher 2; nog te betalen opstalovereenkomst (€ 750,-)</t>
  </si>
  <si>
    <t>vergoeding rabobank</t>
  </si>
  <si>
    <t>compensatie procedure openen rekening</t>
  </si>
  <si>
    <t xml:space="preserve">lidmaatschapskosten EC Geeser Stroom </t>
  </si>
  <si>
    <t xml:space="preserve">Lidmaastchapskosten EC Geeser Stroom </t>
  </si>
  <si>
    <t>Kosten automatische incasso &gt;&gt; € 1,00</t>
  </si>
  <si>
    <t>aantal deelnemers</t>
  </si>
  <si>
    <t>gemiddelde afname 10 certificaten &gt;&gt; 20 leden</t>
  </si>
  <si>
    <t xml:space="preserve">Vul in het groene vak het aantal certificaten in dat u wilt kopen. </t>
  </si>
  <si>
    <t xml:space="preserve">certificaten </t>
  </si>
  <si>
    <t>wordt eigenaar installatie na 15 jaar (na aftrek € 10.000)</t>
  </si>
  <si>
    <t>bron? Met dit bedrag kunnen we 'spelen' om een sluitende exploitatie te krijgen</t>
  </si>
  <si>
    <t>Waar staat de R voor? Rente</t>
  </si>
  <si>
    <t>incl? B2 is excl. B2 heb ik aangepast</t>
  </si>
  <si>
    <t>2,3% over (BTW)jaarbedrag x 4/12 ?? De cooperatie vordert bij de belastingdienst de btw over de panelen terug en leent daarvoor geld bij de DEO</t>
  </si>
  <si>
    <t>afsl.&amp;investkst /10 basis B6 tov B2 lijkt cirkelredenering</t>
  </si>
  <si>
    <t>Rente + aflossing per certificaat  R + afl 1e - 10e jaar</t>
  </si>
  <si>
    <t>rente + aflossing per certificaat R + afl 11e - 15e jaar</t>
  </si>
  <si>
    <t>rente + aflossing per certificaat algemeen</t>
  </si>
  <si>
    <t>Bestemmingsreserve  terug te storten  ledenrekeningen</t>
  </si>
  <si>
    <t>Waarvan xx% naar bestemmingsreserve terugstorting ledenrekeningen</t>
  </si>
  <si>
    <t>percentage investeringskosten</t>
  </si>
  <si>
    <t>(Kosten panelen)+(aansluitkostenen kabel)+(meterkast/per certificaat)</t>
  </si>
  <si>
    <t>prijs per certificaat incl kosten coöperatie</t>
  </si>
  <si>
    <t>prijs per certificaat exclusief kosten coöperatie</t>
  </si>
  <si>
    <t>Percentage van de opbrengst verkoop certificaten als bestemmingsreserve bij 1e uitgifte</t>
  </si>
  <si>
    <t>OZB</t>
  </si>
  <si>
    <t>ledenvergadering</t>
  </si>
  <si>
    <t xml:space="preserve">verhouding eigen en vreemd vermogen na uitgifte certificaten </t>
  </si>
  <si>
    <t>vreemdvermogen DEO</t>
  </si>
  <si>
    <t>belastingteruggave</t>
  </si>
  <si>
    <t>Minimale opbrengst verkoop certificaten</t>
  </si>
  <si>
    <t>eigen vermogen ledeninleg</t>
  </si>
  <si>
    <t>Overige waarde panelen naast minimale opbrengst</t>
  </si>
  <si>
    <t>bron belastingdienst</t>
  </si>
  <si>
    <t>Amp ((B1*B7)/230)/3 formule? A = Kwh / V</t>
  </si>
  <si>
    <t>teruggave btw deel panelen</t>
  </si>
  <si>
    <t>Uw inleg btw die u binnen ongeveer 4 maanden terug ontvangt (na de 1e btw-aangifte van de coöperatie).</t>
  </si>
  <si>
    <t xml:space="preserve">Uw totale factuurbedrag incl. btw. U ontvangt de factuur één maand voor de plaatsing van de zonnepanelen. </t>
  </si>
  <si>
    <t>Verwachte gemiddelde stroomopwekking per jaar over de hele periode van 15 jaar.</t>
  </si>
  <si>
    <t>Uw investeringskosten bij start deelname.</t>
  </si>
  <si>
    <t>Uw verwachte gemiddelde jaarlijkse teruggave energiebelasting bij gelijkblijvende energiebelasting van 11,9 cent.</t>
  </si>
  <si>
    <t>Uw verwachte rendement per jaar gedurende 15 jaar.</t>
  </si>
  <si>
    <t>Uw verwachte rendement per jaar procentueel ten opzicht van uw investering.</t>
  </si>
  <si>
    <t>Uw verwachte terugverdientijd in jaren.</t>
  </si>
  <si>
    <t>Stap 1</t>
  </si>
  <si>
    <t>Omvang gewenste stroomopwekking</t>
  </si>
  <si>
    <t>Uw inleg en rendement</t>
  </si>
  <si>
    <t>De prijs die u betaalt voor de certificaten</t>
  </si>
  <si>
    <t>De btw die u binnen ongeveer 4 - 5 maanden terug ontvangt.</t>
  </si>
  <si>
    <t xml:space="preserve">Ik ben bekend met het volgende:
1. De inhouid van het Prospectus Postcoderoos I en het informatiedocument AFM.
2. Na acceptatie van mijn aanmelding ontvang ik 
    * een inschrijvingsformulier voor het lidmaatschap in de coöperatie;
    * een deelnemersovereenkomst voor het project Postcoderoos I.
3. Deelname aan dit project is op basis van volgorde van binnenkomst van de aanmeldingen.
</t>
  </si>
  <si>
    <t>adres</t>
  </si>
  <si>
    <t>postcode</t>
  </si>
  <si>
    <t>naam</t>
  </si>
  <si>
    <t>woonplaats</t>
  </si>
  <si>
    <t>emailadres</t>
  </si>
  <si>
    <t>telefoon</t>
  </si>
  <si>
    <t>NB. Indien u het aanmeldingsformulie bezorgt bij de secretaris van de coöperatie, Roel Fleurke, Dorpsstraat 62 te Gees, noteer dan hieronder de datum en tijdstip waarop u het aanbiedt of in de brievenbus deponeert.</t>
  </si>
  <si>
    <t xml:space="preserve">datum </t>
  </si>
  <si>
    <t>tijdstip</t>
  </si>
  <si>
    <t>:</t>
  </si>
  <si>
    <t xml:space="preserve">bedrijfsnaam </t>
  </si>
  <si>
    <t>onderverdeler AC en aansluiten meterkast</t>
  </si>
  <si>
    <t>Beste bewoner van het postcodegebied 7863 of aangrenzend,
Fijn dat u zich wilt aanmelden voor deelname aan het project Postcoderoos I. De aanmelding is geopend vanaf zaterdag 9 februari 2019 18.00 uur. Op vrijdag 8 en zaterdag 9 februari bent u van harte welkom op de informatiemarkt in De Klimop en treft u de stand aan van onze energiecoöperatie.
Het aanmeldformulier neemt de gegevens over van het formulier klantkeuze. U hoeft alleen maar uw naam en adres in te vullen, het formulier af te drukken en te ondertekenen. Zend dit na 9 februari 18.00 uur als bijlage aan geeserstroom@gmail.com of lever het af bij de secretaris van de coöperatie, Roel Fleurke, Dorpsstraat 62 te Gees. U mag het formulier daar ook in de bus doen als u niemand thuis treft. Let dan wel op dat u zelf de datum en tijd invult. 
Het bestuur.</t>
  </si>
  <si>
    <r>
      <rPr>
        <i/>
        <sz val="9"/>
        <color theme="1"/>
        <rFont val="Calibri (Hoofdtekst)_x0000_"/>
      </rPr>
      <t>Print het formulier uit, onderteken het en stuur een scan naar geeserstroom@gmail.com.</t>
    </r>
    <r>
      <rPr>
        <sz val="9"/>
        <color theme="1"/>
        <rFont val="Calibri"/>
        <family val="2"/>
        <scheme val="minor"/>
      </rPr>
      <t xml:space="preserve"> </t>
    </r>
    <r>
      <rPr>
        <i/>
        <sz val="9"/>
        <color theme="1"/>
        <rFont val="Calibri"/>
        <family val="2"/>
        <scheme val="minor"/>
      </rPr>
      <t>Tijdstip van ontvangst van uw mail bepaalt de volgorde van binnenkomst van uw aanmeldng.</t>
    </r>
    <r>
      <rPr>
        <sz val="10"/>
        <color theme="1"/>
        <rFont val="Calibri"/>
        <family val="2"/>
        <scheme val="minor"/>
      </rPr>
      <t xml:space="preserve">
(handtekening)</t>
    </r>
  </si>
  <si>
    <t>Beste bewoner van het postcodegebied 7863 of aangrenzend,
De energiecoöperatie Geeser Stroom U.A. heeft  u de mogelijkheid geboden deel te nemen aan het project Postcoderoos I. Dit project is inmiddels vol geboekt. Voorstelbaar is dat we op basis van dit project een vergelijkbaar tweede project starten. Om u te informeren wat dat voor u kan gaan betekenen kunt u met dit rekenmodule eenvoudig berekenen wat investeren in zonne-energie u op kan leveren. Met het rekenmodel kunt u zelf bepalen hoeveel stroom u wilt opwekken. Hiervoor koopt u certificaten. Elk certificaat staat voor de energie die opgewekt wordt door één zonnepaneel inclusief de installatie die daarvoor nodig is. 
In onderstaand rekenmodel kunt u zelf kiezen hoeveel certificaten u wilt kopen. U kunt uw keuze in één van de twee groene vakken net zo vaak herhalen totdat u uw persoonlijke situatie zo optimaal mogelijk in beeld hebt gebracht. Voor advies kunt u altijd contact opnemen met één van de bestuursleden.  
Wij wensen u succes toe met uw keuze voor duurzame energie-opwekking in Gees en hopen u te zijner tijd als deelnemer in onze energiecoöperatie te mogen verwelkomen. 
Het bestuur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</si>
</sst>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_(&quot;€&quot;\ * \(#,##0.00\);_(&quot;€&quot;\ * &quot;-&quot;??_);_(@_)"/>
    <numFmt numFmtId="164" formatCode="_-* #,##0.00_-;_-* #,##0.00\-;_-* &quot;-&quot;??_-;_-@_-"/>
    <numFmt numFmtId="165" formatCode="_-* #,##0_-;_-* #,##0\-;_-* &quot;-&quot;??_-;_-@_-"/>
    <numFmt numFmtId="166" formatCode="&quot;€&quot;\ #,##0.00_-"/>
    <numFmt numFmtId="167" formatCode="0.0"/>
    <numFmt numFmtId="168" formatCode="#,##0.0"/>
    <numFmt numFmtId="169" formatCode="&quot;€&quot;\ #,##0_-"/>
    <numFmt numFmtId="170" formatCode="0.0%"/>
    <numFmt numFmtId="171" formatCode="&quot;€&quot;\ #,##0.00"/>
    <numFmt numFmtId="172" formatCode="0.0000"/>
  </numFmts>
  <fonts count="24">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sz val="9"/>
      <color theme="1"/>
      <name val="Arial"/>
      <family val="2"/>
    </font>
    <font>
      <u/>
      <sz val="12"/>
      <color theme="10"/>
      <name val="Calibri"/>
      <family val="2"/>
      <scheme val="minor"/>
    </font>
    <font>
      <u/>
      <sz val="12"/>
      <color theme="11"/>
      <name val="Calibri"/>
      <family val="2"/>
      <scheme val="minor"/>
    </font>
    <font>
      <sz val="12"/>
      <name val="Calibri"/>
      <family val="2"/>
      <scheme val="minor"/>
    </font>
    <font>
      <sz val="9"/>
      <color theme="0" tint="-0.34998626667073579"/>
      <name val="Arial"/>
      <family val="2"/>
    </font>
    <font>
      <sz val="9"/>
      <color theme="0" tint="-0.249977111117893"/>
      <name val="Arial"/>
      <family val="2"/>
    </font>
    <font>
      <sz val="9"/>
      <color rgb="FFFF0000"/>
      <name val="Arial"/>
      <family val="2"/>
    </font>
    <font>
      <sz val="12"/>
      <color rgb="FFFF0000"/>
      <name val="Calibri"/>
      <family val="2"/>
      <scheme val="minor"/>
    </font>
    <font>
      <sz val="9"/>
      <color theme="0" tint="-0.14999847407452621"/>
      <name val="Arial"/>
      <family val="2"/>
    </font>
    <font>
      <sz val="9"/>
      <name val="Arial"/>
      <family val="2"/>
    </font>
    <font>
      <sz val="8"/>
      <color theme="1"/>
      <name val="Arial"/>
      <family val="2"/>
    </font>
    <font>
      <sz val="8"/>
      <name val="Arial"/>
      <family val="2"/>
    </font>
    <font>
      <sz val="8"/>
      <color theme="0" tint="-0.34998626667073579"/>
      <name val="Arial"/>
      <family val="2"/>
    </font>
    <font>
      <sz val="10"/>
      <color theme="1"/>
      <name val="Calibri"/>
      <family val="2"/>
      <scheme val="minor"/>
    </font>
    <font>
      <sz val="10"/>
      <name val="Calibri"/>
      <family val="2"/>
      <scheme val="minor"/>
    </font>
    <font>
      <b/>
      <u/>
      <sz val="10"/>
      <color theme="1"/>
      <name val="Calibri"/>
      <family val="2"/>
      <scheme val="minor"/>
    </font>
    <font>
      <i/>
      <sz val="9"/>
      <color theme="1"/>
      <name val="Calibri (Hoofdtekst)_x0000_"/>
    </font>
    <font>
      <sz val="9"/>
      <color theme="1"/>
      <name val="Calibri"/>
      <family val="2"/>
      <scheme val="minor"/>
    </font>
    <font>
      <i/>
      <sz val="9"/>
      <color theme="1"/>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4">
    <xf numFmtId="0" fontId="0" fillId="0" borderId="0"/>
    <xf numFmtId="164" fontId="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1" fillId="0" borderId="0" applyFont="0" applyFill="0" applyBorder="0" applyAlignment="0" applyProtection="0"/>
  </cellStyleXfs>
  <cellXfs count="89">
    <xf numFmtId="0" fontId="0" fillId="0" borderId="0" xfId="0"/>
    <xf numFmtId="0" fontId="5" fillId="0" borderId="0" xfId="0" applyFont="1"/>
    <xf numFmtId="165" fontId="5" fillId="0" borderId="0" xfId="1" applyNumberFormat="1" applyFont="1"/>
    <xf numFmtId="164" fontId="5" fillId="0" borderId="0" xfId="1" applyNumberFormat="1" applyFont="1"/>
    <xf numFmtId="10" fontId="5" fillId="0" borderId="0" xfId="0" applyNumberFormat="1" applyFont="1"/>
    <xf numFmtId="166" fontId="5" fillId="0" borderId="0" xfId="0" applyNumberFormat="1" applyFont="1"/>
    <xf numFmtId="165" fontId="5" fillId="0" borderId="1" xfId="1" applyNumberFormat="1" applyFont="1" applyBorder="1"/>
    <xf numFmtId="0" fontId="5" fillId="2" borderId="0" xfId="0" applyFont="1" applyFill="1"/>
    <xf numFmtId="0" fontId="5" fillId="2" borderId="0" xfId="0" applyFont="1" applyFill="1" applyAlignment="1">
      <alignment horizontal="center"/>
    </xf>
    <xf numFmtId="168" fontId="5" fillId="0" borderId="0" xfId="0" applyNumberFormat="1" applyFont="1"/>
    <xf numFmtId="0" fontId="5" fillId="7" borderId="0" xfId="0" applyFont="1" applyFill="1"/>
    <xf numFmtId="1" fontId="5" fillId="7" borderId="0" xfId="0" applyNumberFormat="1" applyFont="1" applyFill="1"/>
    <xf numFmtId="2" fontId="5" fillId="0" borderId="0" xfId="0" applyNumberFormat="1" applyFont="1"/>
    <xf numFmtId="1" fontId="5" fillId="0" borderId="0" xfId="0" applyNumberFormat="1" applyFont="1"/>
    <xf numFmtId="2" fontId="5" fillId="8" borderId="0" xfId="0" applyNumberFormat="1" applyFont="1" applyFill="1"/>
    <xf numFmtId="166" fontId="10" fillId="0" borderId="0" xfId="0" applyNumberFormat="1" applyFont="1"/>
    <xf numFmtId="165" fontId="5" fillId="0" borderId="0" xfId="0" applyNumberFormat="1" applyFont="1"/>
    <xf numFmtId="0" fontId="5" fillId="0" borderId="0" xfId="0" applyFont="1" applyAlignment="1">
      <alignment wrapText="1"/>
    </xf>
    <xf numFmtId="44" fontId="0" fillId="0" borderId="0" xfId="33" applyFont="1"/>
    <xf numFmtId="0" fontId="8" fillId="0" borderId="0" xfId="0" applyFont="1" applyAlignment="1">
      <alignment wrapText="1"/>
    </xf>
    <xf numFmtId="0" fontId="8" fillId="9" borderId="0" xfId="0" applyFont="1" applyFill="1" applyAlignment="1">
      <alignment wrapText="1"/>
    </xf>
    <xf numFmtId="44" fontId="8" fillId="9" borderId="0" xfId="33" applyFont="1" applyFill="1" applyAlignment="1">
      <alignment wrapText="1"/>
    </xf>
    <xf numFmtId="14" fontId="8" fillId="9" borderId="0" xfId="0" applyNumberFormat="1" applyFont="1" applyFill="1" applyAlignment="1">
      <alignment wrapText="1"/>
    </xf>
    <xf numFmtId="14" fontId="0" fillId="0" borderId="0" xfId="0" applyNumberFormat="1"/>
    <xf numFmtId="0" fontId="11" fillId="0" borderId="0" xfId="0" applyFont="1"/>
    <xf numFmtId="10" fontId="0" fillId="10" borderId="0" xfId="16" applyNumberFormat="1" applyFont="1" applyFill="1"/>
    <xf numFmtId="0" fontId="8" fillId="10" borderId="0" xfId="0" applyFont="1" applyFill="1" applyAlignment="1">
      <alignment horizontal="center" wrapText="1"/>
    </xf>
    <xf numFmtId="0" fontId="12" fillId="10" borderId="0" xfId="0" applyFont="1" applyFill="1"/>
    <xf numFmtId="171" fontId="5" fillId="0" borderId="0" xfId="0" applyNumberFormat="1" applyFont="1"/>
    <xf numFmtId="0" fontId="13" fillId="0" borderId="0" xfId="0" applyFont="1"/>
    <xf numFmtId="172" fontId="5" fillId="0" borderId="0" xfId="0" applyNumberFormat="1" applyFont="1"/>
    <xf numFmtId="2" fontId="5" fillId="0" borderId="0" xfId="0" applyNumberFormat="1" applyFont="1" applyFill="1"/>
    <xf numFmtId="0" fontId="14" fillId="0" borderId="0" xfId="0" applyFont="1"/>
    <xf numFmtId="10" fontId="11" fillId="0" borderId="0" xfId="0" applyNumberFormat="1" applyFont="1" applyFill="1"/>
    <xf numFmtId="165" fontId="5" fillId="0" borderId="0" xfId="1" applyNumberFormat="1" applyFont="1" applyFill="1"/>
    <xf numFmtId="0" fontId="5" fillId="0" borderId="0" xfId="0" applyFont="1" applyFill="1"/>
    <xf numFmtId="164" fontId="5" fillId="0" borderId="0" xfId="1" applyNumberFormat="1" applyFont="1" applyFill="1"/>
    <xf numFmtId="0" fontId="14" fillId="0" borderId="0" xfId="0" applyFont="1" applyFill="1"/>
    <xf numFmtId="0" fontId="15" fillId="0" borderId="0" xfId="0" applyFont="1" applyAlignment="1">
      <alignment wrapText="1"/>
    </xf>
    <xf numFmtId="0" fontId="16" fillId="0" borderId="0" xfId="0" applyFont="1" applyFill="1" applyAlignment="1">
      <alignment wrapText="1"/>
    </xf>
    <xf numFmtId="0" fontId="17" fillId="0" borderId="0" xfId="0" applyFont="1" applyAlignment="1">
      <alignment wrapText="1"/>
    </xf>
    <xf numFmtId="10" fontId="5" fillId="0" borderId="0" xfId="1" applyNumberFormat="1" applyFont="1"/>
    <xf numFmtId="0" fontId="11" fillId="0" borderId="0" xfId="0" applyFont="1" applyFill="1" applyAlignment="1">
      <alignment wrapText="1"/>
    </xf>
    <xf numFmtId="164" fontId="5" fillId="0" borderId="0" xfId="0" applyNumberFormat="1" applyFont="1"/>
    <xf numFmtId="165" fontId="5" fillId="7" borderId="0" xfId="1" applyNumberFormat="1" applyFont="1" applyFill="1"/>
    <xf numFmtId="0" fontId="5" fillId="0" borderId="0" xfId="0" applyFont="1" applyAlignment="1">
      <alignment horizontal="left" wrapText="1"/>
    </xf>
    <xf numFmtId="0" fontId="18" fillId="0" borderId="0" xfId="0" applyFont="1"/>
    <xf numFmtId="0" fontId="18" fillId="5" borderId="0" xfId="0" applyFont="1" applyFill="1" applyAlignment="1">
      <alignment vertical="top" wrapText="1"/>
    </xf>
    <xf numFmtId="0" fontId="18" fillId="6" borderId="0" xfId="0" applyFont="1" applyFill="1" applyAlignment="1">
      <alignment vertical="top" wrapText="1"/>
    </xf>
    <xf numFmtId="0" fontId="18" fillId="3" borderId="2" xfId="0" applyFont="1" applyFill="1" applyBorder="1" applyAlignment="1" applyProtection="1">
      <alignment horizontal="center" vertical="center" wrapText="1"/>
      <protection locked="0"/>
    </xf>
    <xf numFmtId="0" fontId="18" fillId="6" borderId="0" xfId="0" applyFont="1" applyFill="1" applyAlignment="1">
      <alignment horizontal="left" vertical="top" wrapText="1"/>
    </xf>
    <xf numFmtId="0" fontId="19" fillId="4" borderId="2" xfId="0" applyFont="1" applyFill="1" applyBorder="1" applyAlignment="1">
      <alignment horizontal="center" vertical="center" wrapText="1"/>
    </xf>
    <xf numFmtId="0" fontId="18" fillId="3" borderId="2" xfId="0" applyFont="1" applyFill="1" applyBorder="1" applyAlignment="1" applyProtection="1">
      <alignment horizontal="center" vertical="top" wrapText="1"/>
      <protection locked="0"/>
    </xf>
    <xf numFmtId="0" fontId="18" fillId="6" borderId="0" xfId="0" applyFont="1" applyFill="1" applyAlignment="1">
      <alignment horizontal="center" vertical="top" wrapText="1"/>
    </xf>
    <xf numFmtId="1" fontId="18" fillId="4" borderId="2" xfId="0" applyNumberFormat="1" applyFont="1" applyFill="1" applyBorder="1" applyAlignment="1">
      <alignment vertical="top" wrapText="1"/>
    </xf>
    <xf numFmtId="169" fontId="18" fillId="4" borderId="2" xfId="0" applyNumberFormat="1" applyFont="1" applyFill="1" applyBorder="1" applyAlignment="1">
      <alignment vertical="top" wrapText="1"/>
    </xf>
    <xf numFmtId="169" fontId="18" fillId="6" borderId="0" xfId="0" applyNumberFormat="1" applyFont="1" applyFill="1" applyAlignment="1">
      <alignment vertical="top" wrapText="1"/>
    </xf>
    <xf numFmtId="166" fontId="18" fillId="6" borderId="0" xfId="0" applyNumberFormat="1" applyFont="1" applyFill="1" applyAlignment="1">
      <alignment vertical="top" wrapText="1"/>
    </xf>
    <xf numFmtId="170" fontId="18" fillId="4" borderId="2" xfId="16" applyNumberFormat="1" applyFont="1" applyFill="1" applyBorder="1" applyAlignment="1">
      <alignment vertical="top" wrapText="1"/>
    </xf>
    <xf numFmtId="167" fontId="18" fillId="4" borderId="2" xfId="16" applyNumberFormat="1" applyFont="1" applyFill="1" applyBorder="1" applyAlignment="1">
      <alignment vertical="top" wrapText="1"/>
    </xf>
    <xf numFmtId="167" fontId="18" fillId="6" borderId="0" xfId="16" applyNumberFormat="1" applyFont="1" applyFill="1" applyBorder="1" applyAlignment="1">
      <alignment vertical="top" wrapText="1"/>
    </xf>
    <xf numFmtId="0" fontId="18" fillId="0" borderId="0" xfId="0" applyFont="1" applyAlignment="1">
      <alignment vertical="top" wrapText="1"/>
    </xf>
    <xf numFmtId="0" fontId="18" fillId="0" borderId="0" xfId="0" applyFont="1" applyFill="1" applyAlignment="1">
      <alignment vertical="top" wrapText="1"/>
    </xf>
    <xf numFmtId="166" fontId="18" fillId="0" borderId="0" xfId="0" applyNumberFormat="1" applyFont="1" applyAlignment="1">
      <alignment vertical="top" wrapText="1"/>
    </xf>
    <xf numFmtId="1" fontId="19" fillId="4" borderId="2" xfId="0" applyNumberFormat="1" applyFont="1" applyFill="1" applyBorder="1" applyAlignment="1">
      <alignment horizontal="center" vertical="center" wrapText="1"/>
    </xf>
    <xf numFmtId="0" fontId="18" fillId="6" borderId="0" xfId="0" applyFont="1" applyFill="1"/>
    <xf numFmtId="0" fontId="20" fillId="6" borderId="0" xfId="0" applyFont="1" applyFill="1" applyAlignment="1">
      <alignment horizontal="left" vertical="top" wrapText="1"/>
    </xf>
    <xf numFmtId="0" fontId="18" fillId="11" borderId="0" xfId="0" applyFont="1" applyFill="1" applyAlignment="1">
      <alignment vertical="top"/>
    </xf>
    <xf numFmtId="0" fontId="18" fillId="11" borderId="0" xfId="0" applyFont="1" applyFill="1" applyAlignment="1">
      <alignment horizontal="left" vertical="top"/>
    </xf>
    <xf numFmtId="0" fontId="18" fillId="11" borderId="0" xfId="0" applyFont="1" applyFill="1"/>
    <xf numFmtId="0" fontId="18" fillId="4" borderId="2" xfId="0" applyFont="1" applyFill="1" applyBorder="1" applyAlignment="1" applyProtection="1">
      <alignment horizontal="center" vertical="center" wrapText="1"/>
    </xf>
    <xf numFmtId="0" fontId="18" fillId="6" borderId="0" xfId="0" applyFont="1" applyFill="1" applyAlignment="1">
      <alignment vertical="top" wrapText="1"/>
    </xf>
    <xf numFmtId="0" fontId="18" fillId="0" borderId="0" xfId="0" applyFont="1" applyAlignment="1">
      <alignment vertical="top" wrapText="1"/>
    </xf>
    <xf numFmtId="0" fontId="18" fillId="6" borderId="3" xfId="0" applyFont="1" applyFill="1" applyBorder="1" applyAlignment="1">
      <alignment horizontal="left" vertical="top" wrapText="1"/>
    </xf>
    <xf numFmtId="0" fontId="18" fillId="6" borderId="0" xfId="0" applyFont="1" applyFill="1" applyAlignment="1">
      <alignment horizontal="left" vertical="top" wrapText="1"/>
    </xf>
    <xf numFmtId="0" fontId="18" fillId="0" borderId="4" xfId="0" applyFont="1" applyBorder="1" applyAlignment="1" applyProtection="1">
      <alignment horizontal="left"/>
      <protection locked="0"/>
    </xf>
    <xf numFmtId="0" fontId="18" fillId="0" borderId="5" xfId="0" applyFont="1" applyBorder="1" applyAlignment="1" applyProtection="1">
      <alignment horizontal="left"/>
      <protection locked="0"/>
    </xf>
    <xf numFmtId="0" fontId="18" fillId="0" borderId="6" xfId="0" applyFont="1" applyBorder="1" applyAlignment="1" applyProtection="1">
      <alignment horizontal="left"/>
      <protection locked="0"/>
    </xf>
    <xf numFmtId="0" fontId="18" fillId="0" borderId="4" xfId="0" applyFont="1" applyBorder="1" applyAlignment="1" applyProtection="1">
      <alignment horizontal="left" vertical="top"/>
      <protection locked="0"/>
    </xf>
    <xf numFmtId="0" fontId="18" fillId="0" borderId="5" xfId="0" applyFont="1" applyBorder="1" applyAlignment="1" applyProtection="1">
      <alignment horizontal="left" vertical="top"/>
      <protection locked="0"/>
    </xf>
    <xf numFmtId="0" fontId="18" fillId="0" borderId="6" xfId="0" applyFont="1" applyBorder="1" applyAlignment="1" applyProtection="1">
      <alignment horizontal="left" vertical="top"/>
      <protection locked="0"/>
    </xf>
    <xf numFmtId="0" fontId="18" fillId="0" borderId="0" xfId="0" applyFont="1" applyAlignment="1">
      <alignment horizontal="left" vertical="top" wrapText="1"/>
    </xf>
    <xf numFmtId="0" fontId="22" fillId="0" borderId="0" xfId="0" applyFont="1" applyAlignment="1">
      <alignment horizontal="left" vertical="top" wrapText="1"/>
    </xf>
    <xf numFmtId="0" fontId="18" fillId="11" borderId="0" xfId="0" applyFont="1" applyFill="1" applyAlignment="1">
      <alignment horizontal="left" vertical="top" wrapText="1"/>
    </xf>
    <xf numFmtId="0" fontId="20" fillId="6" borderId="0" xfId="0" applyFont="1" applyFill="1" applyAlignment="1">
      <alignment vertical="top" wrapText="1"/>
    </xf>
    <xf numFmtId="0" fontId="20" fillId="0" borderId="0" xfId="0" applyFont="1" applyAlignment="1">
      <alignment vertical="top" wrapText="1"/>
    </xf>
    <xf numFmtId="0" fontId="20" fillId="6" borderId="0" xfId="0" applyFont="1" applyFill="1" applyAlignment="1">
      <alignment horizontal="left" vertical="top" wrapText="1"/>
    </xf>
    <xf numFmtId="0" fontId="11" fillId="0" borderId="0" xfId="0" applyFont="1" applyFill="1" applyAlignment="1">
      <alignment horizontal="center"/>
    </xf>
    <xf numFmtId="0" fontId="9" fillId="0" borderId="0" xfId="0" applyFont="1" applyAlignment="1">
      <alignment horizontal="center" wrapText="1"/>
    </xf>
  </cellXfs>
  <cellStyles count="34">
    <cellStyle name="Gevolgde hyperlink" xfId="3" builtinId="9" hidden="1"/>
    <cellStyle name="Gevolgde hyperlink" xfId="5" builtinId="9" hidden="1"/>
    <cellStyle name="Gevolgde hyperlink" xfId="7" builtinId="9" hidden="1"/>
    <cellStyle name="Gevolgde hyperlink" xfId="9" builtinId="9" hidden="1"/>
    <cellStyle name="Gevolgde hyperlink" xfId="11" builtinId="9" hidden="1"/>
    <cellStyle name="Gevolgde hyperlink" xfId="13" builtinId="9" hidden="1"/>
    <cellStyle name="Gevolgde hyperlink" xfId="15"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Komma" xfId="1" builtinId="3"/>
    <cellStyle name="Procent" xfId="16" builtinId="5"/>
    <cellStyle name="Standaard" xfId="0" builtinId="0"/>
    <cellStyle name="Valuta" xfId="33" builtin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23289</xdr:colOff>
      <xdr:row>0</xdr:row>
      <xdr:rowOff>31750</xdr:rowOff>
    </xdr:from>
    <xdr:to>
      <xdr:col>3</xdr:col>
      <xdr:colOff>220139</xdr:colOff>
      <xdr:row>2</xdr:row>
      <xdr:rowOff>291522</xdr:rowOff>
    </xdr:to>
    <xdr:pic>
      <xdr:nvPicPr>
        <xdr:cNvPr id="3" name="Afbeelding 2">
          <a:extLst>
            <a:ext uri="{FF2B5EF4-FFF2-40B4-BE49-F238E27FC236}">
              <a16:creationId xmlns:a16="http://schemas.microsoft.com/office/drawing/2014/main" id="{879570B8-1C41-964F-88C4-2085C195FD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289" y="31750"/>
          <a:ext cx="2017183" cy="619605"/>
        </a:xfrm>
        <a:prstGeom prst="rect">
          <a:avLst/>
        </a:prstGeom>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H21"/>
  <sheetViews>
    <sheetView tabSelected="1" zoomScale="110" zoomScaleNormal="110" workbookViewId="0">
      <selection activeCell="A2" sqref="A2:F4"/>
    </sheetView>
  </sheetViews>
  <sheetFormatPr baseColWidth="10" defaultColWidth="10.83203125" defaultRowHeight="14"/>
  <cols>
    <col min="1" max="1" width="7.6640625" style="61" customWidth="1"/>
    <col min="2" max="2" width="5.83203125" style="61" customWidth="1"/>
    <col min="3" max="3" width="45.1640625" style="61" bestFit="1" customWidth="1"/>
    <col min="4" max="4" width="12.33203125" style="61" bestFit="1" customWidth="1"/>
    <col min="5" max="5" width="13.5" style="61" customWidth="1"/>
    <col min="6" max="6" width="35" style="61" customWidth="1"/>
    <col min="7" max="7" width="9.5" style="61" customWidth="1"/>
    <col min="8" max="8" width="33.83203125" style="61" customWidth="1"/>
    <col min="9" max="16384" width="10.83203125" style="61"/>
  </cols>
  <sheetData>
    <row r="1" spans="1:8" ht="10" customHeight="1">
      <c r="A1" s="48"/>
      <c r="B1" s="48"/>
      <c r="C1" s="48"/>
      <c r="D1" s="48"/>
      <c r="E1" s="48"/>
      <c r="F1" s="48"/>
    </row>
    <row r="2" spans="1:8">
      <c r="A2" s="71" t="s">
        <v>173</v>
      </c>
      <c r="B2" s="71"/>
      <c r="C2" s="72"/>
      <c r="D2" s="72"/>
      <c r="E2" s="72"/>
      <c r="F2" s="72"/>
      <c r="G2" s="62"/>
      <c r="H2" s="62"/>
    </row>
    <row r="3" spans="1:8">
      <c r="A3" s="72"/>
      <c r="B3" s="72"/>
      <c r="C3" s="72"/>
      <c r="D3" s="72"/>
      <c r="E3" s="72"/>
      <c r="F3" s="72"/>
      <c r="G3" s="62"/>
      <c r="H3" s="62"/>
    </row>
    <row r="4" spans="1:8" ht="151" customHeight="1">
      <c r="A4" s="72"/>
      <c r="B4" s="72"/>
      <c r="C4" s="72"/>
      <c r="D4" s="72"/>
      <c r="E4" s="72"/>
      <c r="F4" s="72"/>
      <c r="G4" s="62"/>
      <c r="H4" s="62"/>
    </row>
    <row r="5" spans="1:8" ht="22" customHeight="1">
      <c r="A5" s="47" t="s">
        <v>153</v>
      </c>
      <c r="B5" s="71" t="s">
        <v>73</v>
      </c>
      <c r="C5" s="71"/>
      <c r="D5" s="48"/>
      <c r="E5" s="48"/>
      <c r="F5" s="48"/>
      <c r="G5" s="62"/>
      <c r="H5" s="62"/>
    </row>
    <row r="6" spans="1:8" ht="15">
      <c r="A6" s="48"/>
      <c r="B6" s="48"/>
      <c r="C6" s="48" t="s">
        <v>45</v>
      </c>
      <c r="D6" s="49">
        <v>1200</v>
      </c>
      <c r="E6" s="48" t="s">
        <v>16</v>
      </c>
      <c r="F6" s="48"/>
    </row>
    <row r="7" spans="1:8" ht="52" customHeight="1">
      <c r="A7" s="48"/>
      <c r="B7" s="48"/>
      <c r="C7" s="50" t="s">
        <v>44</v>
      </c>
      <c r="D7" s="51">
        <f>ROUNDDOWN(D6/datavelden!B12,0)</f>
        <v>4</v>
      </c>
      <c r="E7" s="71" t="s">
        <v>72</v>
      </c>
      <c r="F7" s="71"/>
    </row>
    <row r="8" spans="1:8">
      <c r="A8" s="48"/>
      <c r="B8" s="48"/>
      <c r="C8" s="48"/>
      <c r="D8" s="48"/>
      <c r="E8" s="48"/>
      <c r="F8" s="48"/>
    </row>
    <row r="9" spans="1:8" ht="73" customHeight="1">
      <c r="A9" s="47" t="s">
        <v>40</v>
      </c>
      <c r="B9" s="71" t="s">
        <v>116</v>
      </c>
      <c r="C9" s="72"/>
      <c r="D9" s="72"/>
      <c r="E9" s="72"/>
      <c r="F9" s="72"/>
    </row>
    <row r="10" spans="1:8" ht="32" customHeight="1">
      <c r="A10" s="48"/>
      <c r="B10" s="48"/>
      <c r="C10" s="50" t="s">
        <v>43</v>
      </c>
      <c r="D10" s="52">
        <v>4</v>
      </c>
      <c r="E10" s="73" t="s">
        <v>117</v>
      </c>
      <c r="F10" s="74"/>
    </row>
    <row r="11" spans="1:8">
      <c r="A11" s="48"/>
      <c r="B11" s="48"/>
      <c r="C11" s="48"/>
      <c r="D11" s="48"/>
      <c r="E11" s="48"/>
      <c r="F11" s="48"/>
    </row>
    <row r="12" spans="1:8" ht="25" customHeight="1">
      <c r="A12" s="47" t="s">
        <v>41</v>
      </c>
      <c r="B12" s="71" t="s">
        <v>42</v>
      </c>
      <c r="C12" s="72"/>
      <c r="D12" s="72"/>
      <c r="E12" s="72"/>
      <c r="F12" s="72"/>
    </row>
    <row r="13" spans="1:8" ht="30">
      <c r="A13" s="48"/>
      <c r="B13" s="53">
        <v>1</v>
      </c>
      <c r="C13" s="48" t="s">
        <v>147</v>
      </c>
      <c r="D13" s="54">
        <f>((D10*datavelden!B12)+(D10*datavelden!B13)+(D10*datavelden!B14))/3</f>
        <v>1035</v>
      </c>
      <c r="E13" s="48" t="s">
        <v>16</v>
      </c>
      <c r="F13" s="48"/>
    </row>
    <row r="14" spans="1:8" ht="15">
      <c r="A14" s="48"/>
      <c r="B14" s="53">
        <v>2</v>
      </c>
      <c r="C14" s="48" t="s">
        <v>148</v>
      </c>
      <c r="D14" s="55">
        <f>(D10*datavelden!B2)</f>
        <v>1000</v>
      </c>
      <c r="E14" s="48"/>
      <c r="F14" s="56"/>
    </row>
    <row r="15" spans="1:8" ht="30">
      <c r="A15" s="48"/>
      <c r="B15" s="53">
        <v>3</v>
      </c>
      <c r="C15" s="48" t="s">
        <v>145</v>
      </c>
      <c r="D15" s="55">
        <f>21%*(D10*datavelden!B3)</f>
        <v>200.35642200000004</v>
      </c>
      <c r="E15" s="48"/>
      <c r="F15" s="56"/>
    </row>
    <row r="16" spans="1:8" ht="30">
      <c r="A16" s="48"/>
      <c r="B16" s="53">
        <v>4</v>
      </c>
      <c r="C16" s="48" t="s">
        <v>146</v>
      </c>
      <c r="D16" s="55">
        <f>D14+D15</f>
        <v>1200.3564220000001</v>
      </c>
      <c r="E16" s="48"/>
      <c r="F16" s="56"/>
    </row>
    <row r="17" spans="1:7" ht="30">
      <c r="A17" s="48"/>
      <c r="B17" s="53">
        <v>5</v>
      </c>
      <c r="C17" s="48" t="s">
        <v>149</v>
      </c>
      <c r="D17" s="55">
        <f>D13*datavelden!B15</f>
        <v>123.51928049999999</v>
      </c>
      <c r="E17" s="48"/>
      <c r="F17" s="57"/>
    </row>
    <row r="18" spans="1:7" ht="15">
      <c r="A18" s="48"/>
      <c r="B18" s="53">
        <v>6</v>
      </c>
      <c r="C18" s="48" t="s">
        <v>150</v>
      </c>
      <c r="D18" s="55">
        <f>((D17*15)-(D14))/15</f>
        <v>56.852613833333329</v>
      </c>
      <c r="E18" s="48"/>
      <c r="F18" s="56"/>
      <c r="G18" s="63"/>
    </row>
    <row r="19" spans="1:7" ht="30">
      <c r="A19" s="48"/>
      <c r="B19" s="53">
        <v>7</v>
      </c>
      <c r="C19" s="48" t="s">
        <v>151</v>
      </c>
      <c r="D19" s="58">
        <f>(D18*15)/((D14))/15</f>
        <v>5.6852613833333329E-2</v>
      </c>
      <c r="E19" s="48"/>
      <c r="F19" s="48"/>
    </row>
    <row r="20" spans="1:7" ht="15">
      <c r="A20" s="48"/>
      <c r="B20" s="53">
        <v>8</v>
      </c>
      <c r="C20" s="48" t="s">
        <v>152</v>
      </c>
      <c r="D20" s="59">
        <f>(D14)/D17</f>
        <v>8.0959020806472406</v>
      </c>
      <c r="E20" s="48"/>
      <c r="F20" s="48"/>
    </row>
    <row r="21" spans="1:7">
      <c r="A21" s="48"/>
      <c r="B21" s="53"/>
      <c r="C21" s="48"/>
      <c r="D21" s="60"/>
      <c r="E21" s="48"/>
      <c r="F21" s="48"/>
    </row>
  </sheetData>
  <sheetProtection selectLockedCells="1"/>
  <mergeCells count="6">
    <mergeCell ref="E7:F7"/>
    <mergeCell ref="A2:F4"/>
    <mergeCell ref="B5:C5"/>
    <mergeCell ref="B9:F9"/>
    <mergeCell ref="B12:F12"/>
    <mergeCell ref="E10:F10"/>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
  <sheetViews>
    <sheetView topLeftCell="A5" zoomScale="120" zoomScaleNormal="120" zoomScalePageLayoutView="110" workbookViewId="0">
      <selection activeCell="D23" sqref="D23:I23"/>
    </sheetView>
  </sheetViews>
  <sheetFormatPr baseColWidth="10" defaultColWidth="11" defaultRowHeight="14"/>
  <cols>
    <col min="1" max="1" width="2" style="46" customWidth="1"/>
    <col min="2" max="2" width="11" style="46"/>
    <col min="3" max="3" width="11" style="46" customWidth="1"/>
    <col min="4" max="6" width="11" style="46"/>
    <col min="7" max="7" width="4.83203125" style="46" customWidth="1"/>
    <col min="8" max="8" width="7.1640625" style="46" customWidth="1"/>
    <col min="9" max="9" width="8.83203125" style="46" customWidth="1"/>
    <col min="10" max="16384" width="11" style="46"/>
  </cols>
  <sheetData>
    <row r="1" spans="1:9">
      <c r="A1" s="69"/>
      <c r="D1" s="69"/>
      <c r="E1" s="69"/>
      <c r="F1" s="69"/>
      <c r="G1" s="69"/>
      <c r="H1" s="69"/>
      <c r="I1" s="69"/>
    </row>
    <row r="2" spans="1:9">
      <c r="A2" s="69"/>
      <c r="D2" s="69"/>
      <c r="E2" s="69"/>
      <c r="F2" s="69"/>
      <c r="G2" s="69"/>
      <c r="H2" s="69"/>
      <c r="I2" s="69"/>
    </row>
    <row r="3" spans="1:9" ht="35" customHeight="1">
      <c r="A3" s="69"/>
      <c r="B3" s="69"/>
      <c r="C3" s="69"/>
      <c r="D3" s="69"/>
      <c r="E3" s="69"/>
      <c r="F3" s="69"/>
      <c r="G3" s="69"/>
      <c r="H3" s="69"/>
      <c r="I3" s="69"/>
    </row>
    <row r="4" spans="1:9" ht="14" customHeight="1">
      <c r="A4" s="83" t="s">
        <v>171</v>
      </c>
      <c r="B4" s="83"/>
      <c r="C4" s="83"/>
      <c r="D4" s="83"/>
      <c r="E4" s="83"/>
      <c r="F4" s="83"/>
      <c r="G4" s="83"/>
      <c r="H4" s="83"/>
      <c r="I4" s="83"/>
    </row>
    <row r="5" spans="1:9">
      <c r="A5" s="83"/>
      <c r="B5" s="83"/>
      <c r="C5" s="83"/>
      <c r="D5" s="83"/>
      <c r="E5" s="83"/>
      <c r="F5" s="83"/>
      <c r="G5" s="83"/>
      <c r="H5" s="83"/>
      <c r="I5" s="83"/>
    </row>
    <row r="6" spans="1:9" ht="148" customHeight="1">
      <c r="A6" s="83"/>
      <c r="B6" s="83"/>
      <c r="C6" s="83"/>
      <c r="D6" s="83"/>
      <c r="E6" s="83"/>
      <c r="F6" s="83"/>
      <c r="G6" s="83"/>
      <c r="H6" s="83"/>
      <c r="I6" s="83"/>
    </row>
    <row r="7" spans="1:9" ht="10" customHeight="1">
      <c r="A7" s="48"/>
      <c r="B7" s="65"/>
      <c r="C7" s="65"/>
      <c r="D7" s="65"/>
      <c r="E7" s="65"/>
      <c r="F7" s="66"/>
      <c r="G7" s="48"/>
      <c r="H7" s="65"/>
      <c r="I7" s="65"/>
    </row>
    <row r="8" spans="1:9" ht="15">
      <c r="A8" s="48"/>
      <c r="B8" s="86" t="s">
        <v>154</v>
      </c>
      <c r="C8" s="86"/>
      <c r="D8" s="86"/>
      <c r="E8" s="86"/>
      <c r="F8" s="65"/>
      <c r="G8" s="65"/>
      <c r="H8" s="70">
        <f>Klantkeuze!D10</f>
        <v>4</v>
      </c>
      <c r="I8" s="48" t="s">
        <v>117</v>
      </c>
    </row>
    <row r="9" spans="1:9" ht="14" customHeight="1">
      <c r="A9" s="48"/>
      <c r="B9" s="48"/>
      <c r="C9" s="50"/>
      <c r="D9" s="65"/>
      <c r="E9" s="65"/>
      <c r="F9" s="65"/>
      <c r="G9" s="65"/>
      <c r="H9" s="64">
        <f>Klantkeuze!D13</f>
        <v>1035</v>
      </c>
      <c r="I9" s="48" t="s">
        <v>16</v>
      </c>
    </row>
    <row r="10" spans="1:9">
      <c r="A10" s="48"/>
      <c r="B10" s="48"/>
      <c r="C10" s="48"/>
      <c r="D10" s="48"/>
      <c r="E10" s="48"/>
      <c r="F10" s="48"/>
      <c r="G10" s="48"/>
      <c r="H10" s="65"/>
      <c r="I10" s="65"/>
    </row>
    <row r="11" spans="1:9">
      <c r="A11" s="48"/>
      <c r="B11" s="84" t="s">
        <v>155</v>
      </c>
      <c r="C11" s="85"/>
      <c r="D11" s="85"/>
      <c r="E11" s="85"/>
      <c r="F11" s="85"/>
      <c r="G11" s="85"/>
      <c r="H11" s="65"/>
      <c r="I11" s="65"/>
    </row>
    <row r="12" spans="1:9">
      <c r="A12" s="48">
        <v>1</v>
      </c>
      <c r="B12" s="74" t="s">
        <v>156</v>
      </c>
      <c r="C12" s="74"/>
      <c r="D12" s="74"/>
      <c r="E12" s="74"/>
      <c r="F12" s="74"/>
      <c r="G12" s="56"/>
      <c r="H12" s="55">
        <f>Klantkeuze!D14</f>
        <v>1000</v>
      </c>
      <c r="I12" s="65"/>
    </row>
    <row r="13" spans="1:9">
      <c r="A13" s="48">
        <v>2</v>
      </c>
      <c r="B13" s="74" t="s">
        <v>157</v>
      </c>
      <c r="C13" s="74"/>
      <c r="D13" s="74"/>
      <c r="E13" s="74"/>
      <c r="F13" s="74"/>
      <c r="G13" s="56"/>
      <c r="H13" s="55">
        <f>Klantkeuze!D15</f>
        <v>200.35642200000004</v>
      </c>
      <c r="I13" s="65"/>
    </row>
    <row r="14" spans="1:9" ht="28" customHeight="1">
      <c r="A14" s="48">
        <v>3</v>
      </c>
      <c r="B14" s="74" t="s">
        <v>146</v>
      </c>
      <c r="C14" s="74"/>
      <c r="D14" s="74"/>
      <c r="E14" s="74"/>
      <c r="F14" s="74"/>
      <c r="G14" s="56"/>
      <c r="H14" s="55">
        <f>H12+H13</f>
        <v>1200.3564220000001</v>
      </c>
      <c r="I14" s="65"/>
    </row>
    <row r="15" spans="1:9" ht="28" customHeight="1">
      <c r="A15" s="48">
        <v>4</v>
      </c>
      <c r="B15" s="74" t="s">
        <v>149</v>
      </c>
      <c r="C15" s="74"/>
      <c r="D15" s="74"/>
      <c r="E15" s="74"/>
      <c r="F15" s="74"/>
      <c r="G15" s="57"/>
      <c r="H15" s="55">
        <f>Klantkeuze!D17</f>
        <v>123.51928049999999</v>
      </c>
      <c r="I15" s="65"/>
    </row>
    <row r="16" spans="1:9">
      <c r="A16" s="48">
        <v>5</v>
      </c>
      <c r="B16" s="74" t="s">
        <v>150</v>
      </c>
      <c r="C16" s="74"/>
      <c r="D16" s="74"/>
      <c r="E16" s="74"/>
      <c r="F16" s="74"/>
      <c r="G16" s="56"/>
      <c r="H16" s="55">
        <f>((H15*15)-(H12))/15</f>
        <v>56.852613833333329</v>
      </c>
      <c r="I16" s="65"/>
    </row>
    <row r="17" spans="1:9">
      <c r="A17" s="48">
        <v>6</v>
      </c>
      <c r="B17" s="74" t="s">
        <v>151</v>
      </c>
      <c r="C17" s="74"/>
      <c r="D17" s="74"/>
      <c r="E17" s="74"/>
      <c r="F17" s="74"/>
      <c r="G17" s="48"/>
      <c r="H17" s="58">
        <f>Klantkeuze!D19</f>
        <v>5.6852613833333329E-2</v>
      </c>
      <c r="I17" s="65"/>
    </row>
    <row r="18" spans="1:9">
      <c r="A18" s="48">
        <v>7</v>
      </c>
      <c r="B18" s="74" t="s">
        <v>152</v>
      </c>
      <c r="C18" s="74"/>
      <c r="D18" s="74"/>
      <c r="E18" s="74"/>
      <c r="F18" s="74"/>
      <c r="G18" s="48"/>
      <c r="H18" s="59">
        <f>(H12)/H15</f>
        <v>8.0959020806472406</v>
      </c>
      <c r="I18" s="65"/>
    </row>
    <row r="19" spans="1:9" ht="11" customHeight="1">
      <c r="A19" s="48"/>
      <c r="B19" s="53"/>
      <c r="C19" s="48"/>
      <c r="D19" s="60"/>
      <c r="E19" s="48"/>
      <c r="F19" s="48"/>
      <c r="G19" s="48"/>
      <c r="H19" s="65"/>
      <c r="I19" s="65"/>
    </row>
    <row r="20" spans="1:9" ht="14" customHeight="1">
      <c r="A20" s="83" t="s">
        <v>158</v>
      </c>
      <c r="B20" s="83"/>
      <c r="C20" s="83"/>
      <c r="D20" s="83"/>
      <c r="E20" s="83"/>
      <c r="F20" s="83"/>
      <c r="G20" s="83"/>
      <c r="H20" s="83"/>
      <c r="I20" s="83"/>
    </row>
    <row r="21" spans="1:9">
      <c r="A21" s="83"/>
      <c r="B21" s="83"/>
      <c r="C21" s="83"/>
      <c r="D21" s="83"/>
      <c r="E21" s="83"/>
      <c r="F21" s="83"/>
      <c r="G21" s="83"/>
      <c r="H21" s="83"/>
      <c r="I21" s="83"/>
    </row>
    <row r="22" spans="1:9" ht="65" customHeight="1">
      <c r="A22" s="83"/>
      <c r="B22" s="83"/>
      <c r="C22" s="83"/>
      <c r="D22" s="83"/>
      <c r="E22" s="83"/>
      <c r="F22" s="83"/>
      <c r="G22" s="83"/>
      <c r="H22" s="83"/>
      <c r="I22" s="83"/>
    </row>
    <row r="23" spans="1:9">
      <c r="A23" s="67"/>
      <c r="B23" s="67" t="s">
        <v>161</v>
      </c>
      <c r="C23" s="68" t="s">
        <v>168</v>
      </c>
      <c r="D23" s="78"/>
      <c r="E23" s="79"/>
      <c r="F23" s="79"/>
      <c r="G23" s="79"/>
      <c r="H23" s="79"/>
      <c r="I23" s="80"/>
    </row>
    <row r="24" spans="1:9">
      <c r="A24" s="67"/>
      <c r="B24" s="67" t="s">
        <v>169</v>
      </c>
      <c r="C24" s="68" t="s">
        <v>168</v>
      </c>
      <c r="D24" s="78"/>
      <c r="E24" s="79"/>
      <c r="F24" s="79"/>
      <c r="G24" s="79"/>
      <c r="H24" s="79"/>
      <c r="I24" s="80"/>
    </row>
    <row r="25" spans="1:9">
      <c r="A25" s="67"/>
      <c r="B25" s="67" t="s">
        <v>159</v>
      </c>
      <c r="C25" s="68" t="s">
        <v>168</v>
      </c>
      <c r="D25" s="78"/>
      <c r="E25" s="79"/>
      <c r="F25" s="79"/>
      <c r="G25" s="79"/>
      <c r="H25" s="79"/>
      <c r="I25" s="80"/>
    </row>
    <row r="26" spans="1:9">
      <c r="A26" s="67"/>
      <c r="B26" s="67" t="s">
        <v>160</v>
      </c>
      <c r="C26" s="68" t="s">
        <v>168</v>
      </c>
      <c r="D26" s="78"/>
      <c r="E26" s="79"/>
      <c r="F26" s="79"/>
      <c r="G26" s="79"/>
      <c r="H26" s="79"/>
      <c r="I26" s="80"/>
    </row>
    <row r="27" spans="1:9">
      <c r="A27" s="69"/>
      <c r="B27" s="69" t="s">
        <v>162</v>
      </c>
      <c r="C27" s="68" t="s">
        <v>168</v>
      </c>
      <c r="D27" s="75"/>
      <c r="E27" s="76"/>
      <c r="F27" s="76"/>
      <c r="G27" s="76"/>
      <c r="H27" s="76"/>
      <c r="I27" s="77"/>
    </row>
    <row r="28" spans="1:9">
      <c r="A28" s="69"/>
      <c r="B28" s="69" t="s">
        <v>163</v>
      </c>
      <c r="C28" s="68" t="s">
        <v>168</v>
      </c>
      <c r="D28" s="75"/>
      <c r="E28" s="76"/>
      <c r="F28" s="76"/>
      <c r="G28" s="76"/>
      <c r="H28" s="76"/>
      <c r="I28" s="77"/>
    </row>
    <row r="29" spans="1:9">
      <c r="A29" s="69"/>
      <c r="B29" s="69" t="s">
        <v>164</v>
      </c>
      <c r="C29" s="68" t="s">
        <v>168</v>
      </c>
      <c r="D29" s="75"/>
      <c r="E29" s="76"/>
      <c r="F29" s="76"/>
      <c r="G29" s="76"/>
      <c r="H29" s="76"/>
      <c r="I29" s="77"/>
    </row>
    <row r="30" spans="1:9" ht="10" customHeight="1">
      <c r="A30" s="69"/>
      <c r="B30" s="69"/>
      <c r="C30" s="69"/>
      <c r="D30" s="69"/>
      <c r="E30" s="69"/>
      <c r="F30" s="69"/>
      <c r="G30" s="69"/>
      <c r="H30" s="69"/>
      <c r="I30" s="69"/>
    </row>
    <row r="31" spans="1:9" ht="14" customHeight="1">
      <c r="A31" s="69"/>
      <c r="B31" s="81" t="s">
        <v>172</v>
      </c>
      <c r="C31" s="81"/>
      <c r="D31" s="81"/>
      <c r="E31" s="81"/>
      <c r="F31" s="81"/>
      <c r="G31" s="81"/>
      <c r="H31" s="81"/>
      <c r="I31" s="81"/>
    </row>
    <row r="32" spans="1:9" ht="54" customHeight="1">
      <c r="A32" s="69"/>
      <c r="B32" s="81"/>
      <c r="C32" s="81"/>
      <c r="D32" s="81"/>
      <c r="E32" s="81"/>
      <c r="F32" s="81"/>
      <c r="G32" s="81"/>
      <c r="H32" s="81"/>
      <c r="I32" s="81"/>
    </row>
    <row r="33" spans="1:9" ht="7" customHeight="1">
      <c r="A33" s="69"/>
      <c r="B33" s="69"/>
      <c r="C33" s="69"/>
      <c r="D33" s="69"/>
      <c r="E33" s="69"/>
      <c r="F33" s="69"/>
      <c r="G33" s="69"/>
      <c r="H33" s="69"/>
      <c r="I33" s="69"/>
    </row>
    <row r="34" spans="1:9" ht="28" customHeight="1">
      <c r="A34" s="82" t="s">
        <v>165</v>
      </c>
      <c r="B34" s="82"/>
      <c r="C34" s="82"/>
      <c r="D34" s="82"/>
      <c r="E34" s="82"/>
      <c r="F34" s="82"/>
      <c r="G34" s="82"/>
      <c r="H34" s="82"/>
      <c r="I34" s="82"/>
    </row>
    <row r="35" spans="1:9">
      <c r="A35" s="69"/>
      <c r="B35" s="69" t="s">
        <v>166</v>
      </c>
      <c r="C35" s="68" t="s">
        <v>168</v>
      </c>
      <c r="D35" s="78"/>
      <c r="E35" s="79"/>
      <c r="F35" s="79"/>
      <c r="G35" s="80"/>
      <c r="H35" s="69"/>
      <c r="I35" s="69"/>
    </row>
    <row r="36" spans="1:9">
      <c r="A36" s="69"/>
      <c r="B36" s="69" t="s">
        <v>167</v>
      </c>
      <c r="C36" s="68" t="s">
        <v>168</v>
      </c>
      <c r="D36" s="78"/>
      <c r="E36" s="79"/>
      <c r="F36" s="79"/>
      <c r="G36" s="80"/>
      <c r="H36" s="69"/>
      <c r="I36" s="69"/>
    </row>
    <row r="37" spans="1:9">
      <c r="A37" s="69"/>
      <c r="B37" s="69"/>
      <c r="C37" s="69"/>
      <c r="D37" s="69"/>
      <c r="E37" s="69"/>
      <c r="F37" s="69"/>
      <c r="G37" s="69"/>
      <c r="H37" s="69"/>
      <c r="I37" s="69"/>
    </row>
    <row r="38" spans="1:9">
      <c r="A38" s="69"/>
      <c r="B38" s="69"/>
      <c r="C38" s="69"/>
      <c r="D38" s="69"/>
      <c r="E38" s="69"/>
      <c r="F38" s="69"/>
      <c r="G38" s="69"/>
      <c r="H38" s="69"/>
      <c r="I38" s="69"/>
    </row>
    <row r="39" spans="1:9">
      <c r="A39" s="69"/>
      <c r="B39" s="69"/>
      <c r="C39" s="69"/>
      <c r="D39" s="69"/>
      <c r="E39" s="69"/>
      <c r="F39" s="69"/>
      <c r="G39" s="69"/>
      <c r="H39" s="69"/>
      <c r="I39" s="69"/>
    </row>
    <row r="40" spans="1:9">
      <c r="B40" s="69"/>
      <c r="C40" s="69"/>
      <c r="D40" s="69"/>
      <c r="E40" s="69"/>
      <c r="F40" s="69"/>
      <c r="G40" s="69"/>
      <c r="H40" s="69"/>
      <c r="I40" s="69"/>
    </row>
  </sheetData>
  <sheetProtection selectLockedCells="1"/>
  <mergeCells count="22">
    <mergeCell ref="B17:F17"/>
    <mergeCell ref="A4:I6"/>
    <mergeCell ref="A20:I22"/>
    <mergeCell ref="B11:G11"/>
    <mergeCell ref="B8:E8"/>
    <mergeCell ref="B12:F12"/>
    <mergeCell ref="B13:F13"/>
    <mergeCell ref="B14:F14"/>
    <mergeCell ref="B15:F15"/>
    <mergeCell ref="B16:F16"/>
    <mergeCell ref="D29:I29"/>
    <mergeCell ref="D35:G35"/>
    <mergeCell ref="D36:G36"/>
    <mergeCell ref="B18:F18"/>
    <mergeCell ref="B31:I32"/>
    <mergeCell ref="A34:I34"/>
    <mergeCell ref="D23:I23"/>
    <mergeCell ref="D24:I24"/>
    <mergeCell ref="D25:I25"/>
    <mergeCell ref="D26:I26"/>
    <mergeCell ref="D27:I27"/>
    <mergeCell ref="D28:I28"/>
  </mergeCells>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F33"/>
  <sheetViews>
    <sheetView zoomScale="140" zoomScaleNormal="140" zoomScalePageLayoutView="140" workbookViewId="0">
      <selection activeCell="D4" sqref="D4:D8"/>
    </sheetView>
  </sheetViews>
  <sheetFormatPr baseColWidth="10" defaultColWidth="10.83203125" defaultRowHeight="12"/>
  <cols>
    <col min="1" max="1" width="25" style="1" customWidth="1"/>
    <col min="2" max="2" width="10.83203125" style="1" customWidth="1"/>
    <col min="3" max="4" width="10.1640625" style="1" customWidth="1"/>
    <col min="5" max="5" width="39.83203125" style="1" bestFit="1" customWidth="1"/>
    <col min="6" max="16384" width="10.83203125" style="1"/>
  </cols>
  <sheetData>
    <row r="1" spans="1:6">
      <c r="A1" s="10" t="s">
        <v>18</v>
      </c>
    </row>
    <row r="3" spans="1:6">
      <c r="B3" s="8" t="s">
        <v>2</v>
      </c>
      <c r="C3" s="8" t="s">
        <v>3</v>
      </c>
      <c r="D3" s="8" t="s">
        <v>74</v>
      </c>
      <c r="E3" s="1" t="s">
        <v>5</v>
      </c>
    </row>
    <row r="4" spans="1:6">
      <c r="A4" s="1" t="s">
        <v>29</v>
      </c>
      <c r="B4" s="2"/>
      <c r="C4" s="2">
        <f>datavelden!B1*(datavelden!B10*datavelden!B11)</f>
        <v>43323.000000000007</v>
      </c>
      <c r="D4" s="2">
        <f>21%*C4</f>
        <v>9097.8300000000017</v>
      </c>
    </row>
    <row r="5" spans="1:6">
      <c r="A5" s="1" t="s">
        <v>49</v>
      </c>
      <c r="B5" s="2"/>
      <c r="C5" s="34">
        <v>0</v>
      </c>
      <c r="D5" s="34"/>
      <c r="E5" s="35" t="s">
        <v>59</v>
      </c>
    </row>
    <row r="6" spans="1:6">
      <c r="A6" s="1" t="s">
        <v>0</v>
      </c>
      <c r="B6" s="2">
        <v>1200</v>
      </c>
      <c r="C6" s="34">
        <f>507.74+750</f>
        <v>1257.74</v>
      </c>
      <c r="D6" s="34">
        <f>C6*0.21</f>
        <v>264.12540000000001</v>
      </c>
      <c r="E6" s="35" t="s">
        <v>108</v>
      </c>
      <c r="F6" s="1" t="s">
        <v>107</v>
      </c>
    </row>
    <row r="7" spans="1:6">
      <c r="A7" s="1" t="s">
        <v>6</v>
      </c>
      <c r="B7" s="2"/>
      <c r="C7" s="34">
        <v>1471.91</v>
      </c>
      <c r="D7" s="34">
        <f>0.21*C7</f>
        <v>309.10110000000003</v>
      </c>
      <c r="E7" s="35" t="s">
        <v>85</v>
      </c>
    </row>
    <row r="8" spans="1:6">
      <c r="A8" s="1" t="s">
        <v>170</v>
      </c>
      <c r="B8" s="2"/>
      <c r="C8" s="34">
        <v>2909</v>
      </c>
      <c r="D8" s="34">
        <f>C8*0.21</f>
        <v>610.89</v>
      </c>
      <c r="E8" s="35"/>
    </row>
    <row r="9" spans="1:6">
      <c r="A9" s="1" t="s">
        <v>7</v>
      </c>
      <c r="B9" s="2">
        <v>75</v>
      </c>
      <c r="C9" s="34">
        <v>75</v>
      </c>
      <c r="D9" s="36">
        <v>15.75</v>
      </c>
      <c r="E9" s="35" t="s">
        <v>77</v>
      </c>
    </row>
    <row r="10" spans="1:6">
      <c r="A10" s="1" t="s">
        <v>1</v>
      </c>
      <c r="B10" s="2">
        <v>2500</v>
      </c>
      <c r="C10" s="34">
        <v>2500</v>
      </c>
      <c r="D10" s="34">
        <f>C10*0.21</f>
        <v>525</v>
      </c>
      <c r="E10" s="35" t="s">
        <v>75</v>
      </c>
    </row>
    <row r="11" spans="1:6">
      <c r="A11" s="1" t="s">
        <v>19</v>
      </c>
      <c r="B11" s="2">
        <v>600</v>
      </c>
      <c r="C11" s="34">
        <v>600</v>
      </c>
      <c r="D11" s="34">
        <f>C11*0.21</f>
        <v>126</v>
      </c>
      <c r="E11" s="35" t="s">
        <v>77</v>
      </c>
      <c r="F11" s="1" t="s">
        <v>84</v>
      </c>
    </row>
    <row r="12" spans="1:6">
      <c r="A12" s="1" t="s">
        <v>30</v>
      </c>
      <c r="B12" s="2"/>
      <c r="C12" s="34">
        <v>0</v>
      </c>
      <c r="D12" s="34"/>
      <c r="E12" s="37" t="s">
        <v>118</v>
      </c>
    </row>
    <row r="13" spans="1:6">
      <c r="A13" s="1" t="s">
        <v>54</v>
      </c>
      <c r="B13" s="16">
        <v>250</v>
      </c>
      <c r="C13" s="34">
        <v>250</v>
      </c>
      <c r="D13" s="34"/>
      <c r="E13" s="35" t="s">
        <v>76</v>
      </c>
    </row>
    <row r="14" spans="1:6">
      <c r="A14" s="1" t="s">
        <v>56</v>
      </c>
      <c r="B14" s="2">
        <v>50</v>
      </c>
      <c r="C14" s="34">
        <v>50</v>
      </c>
      <c r="D14" s="34"/>
      <c r="E14" s="35" t="s">
        <v>77</v>
      </c>
    </row>
    <row r="15" spans="1:6">
      <c r="A15" s="1" t="s">
        <v>79</v>
      </c>
      <c r="B15" s="2"/>
      <c r="C15" s="34">
        <f>datavelden!B23</f>
        <v>0</v>
      </c>
      <c r="D15" s="34"/>
      <c r="E15" s="35"/>
    </row>
    <row r="16" spans="1:6">
      <c r="A16" s="1" t="s">
        <v>109</v>
      </c>
      <c r="B16" s="2">
        <v>500</v>
      </c>
      <c r="C16" s="34"/>
      <c r="D16" s="34"/>
      <c r="E16" s="35" t="s">
        <v>110</v>
      </c>
    </row>
    <row r="17" spans="1:6">
      <c r="B17" s="2"/>
      <c r="C17" s="34"/>
      <c r="D17" s="34"/>
      <c r="E17" s="35"/>
    </row>
    <row r="18" spans="1:6">
      <c r="A18" s="1" t="s">
        <v>144</v>
      </c>
      <c r="B18" s="34">
        <f>-D4*0</f>
        <v>0</v>
      </c>
      <c r="C18" s="34"/>
      <c r="D18" s="34"/>
      <c r="E18" s="35" t="s">
        <v>37</v>
      </c>
    </row>
    <row r="19" spans="1:6">
      <c r="A19" s="1" t="s">
        <v>70</v>
      </c>
      <c r="B19" s="2">
        <f>datavelden!B7*datavelden!B2</f>
        <v>50000</v>
      </c>
      <c r="C19" s="34"/>
      <c r="D19" s="34"/>
      <c r="E19" s="35"/>
    </row>
    <row r="20" spans="1:6">
      <c r="B20" s="2"/>
      <c r="C20" s="34"/>
      <c r="D20" s="34"/>
      <c r="E20" s="35"/>
    </row>
    <row r="21" spans="1:6">
      <c r="A21" s="1" t="s">
        <v>138</v>
      </c>
      <c r="B21" s="2">
        <f>D22</f>
        <v>0</v>
      </c>
      <c r="C21" s="2"/>
      <c r="D21" s="2"/>
    </row>
    <row r="22" spans="1:6">
      <c r="A22" s="1" t="s">
        <v>4</v>
      </c>
      <c r="B22" s="6">
        <f>SUM(B4:B21)</f>
        <v>55175</v>
      </c>
      <c r="C22" s="6">
        <f>SUM(C4:C21)</f>
        <v>52436.650000000009</v>
      </c>
      <c r="D22" s="6">
        <f>SUM(D4:D21)*0</f>
        <v>0</v>
      </c>
      <c r="F22" s="16"/>
    </row>
    <row r="23" spans="1:6">
      <c r="B23" s="2"/>
      <c r="C23" s="2"/>
      <c r="D23" s="2"/>
    </row>
    <row r="24" spans="1:6">
      <c r="A24" s="10" t="s">
        <v>81</v>
      </c>
      <c r="B24" s="44" t="s">
        <v>83</v>
      </c>
      <c r="C24" s="44" t="s">
        <v>82</v>
      </c>
      <c r="D24" s="2"/>
    </row>
    <row r="25" spans="1:6" ht="26">
      <c r="A25" s="45" t="s">
        <v>127</v>
      </c>
      <c r="B25" s="2"/>
      <c r="C25" s="2">
        <f>B22-C22</f>
        <v>2738.3499999999913</v>
      </c>
      <c r="D25" s="41">
        <f>(C25)/(datavelden!B1*datavelden!B2)</f>
        <v>5.4766999999999823E-2</v>
      </c>
      <c r="E25" s="17" t="s">
        <v>133</v>
      </c>
    </row>
    <row r="26" spans="1:6" ht="26">
      <c r="A26" s="17" t="s">
        <v>139</v>
      </c>
      <c r="B26" s="2"/>
      <c r="C26" s="2">
        <f>C4-C25</f>
        <v>40584.650000000016</v>
      </c>
      <c r="D26" s="2"/>
    </row>
    <row r="27" spans="1:6" ht="26">
      <c r="A27" s="17" t="s">
        <v>141</v>
      </c>
      <c r="B27" s="2"/>
      <c r="C27" s="2">
        <f>C4-C26</f>
        <v>2738.3499999999913</v>
      </c>
      <c r="D27" s="2"/>
    </row>
    <row r="28" spans="1:6" ht="13">
      <c r="A28" s="17" t="s">
        <v>137</v>
      </c>
      <c r="B28" s="2"/>
      <c r="C28" s="2"/>
      <c r="D28" s="2"/>
    </row>
    <row r="29" spans="1:6" ht="13">
      <c r="A29" s="17" t="s">
        <v>140</v>
      </c>
      <c r="B29" s="2">
        <f>B19</f>
        <v>50000</v>
      </c>
      <c r="C29" s="2"/>
      <c r="D29" s="2"/>
    </row>
    <row r="30" spans="1:6" ht="13">
      <c r="A30" s="17" t="s">
        <v>138</v>
      </c>
      <c r="B30" s="2"/>
      <c r="C30" s="2">
        <f>B21</f>
        <v>0</v>
      </c>
      <c r="D30" s="2"/>
    </row>
    <row r="31" spans="1:6">
      <c r="A31" s="17"/>
      <c r="B31" s="6">
        <f>+SUM(B25:B30)</f>
        <v>50000</v>
      </c>
      <c r="C31" s="6">
        <f>+SUM(C25:C30)</f>
        <v>46061.35</v>
      </c>
      <c r="D31" s="2"/>
    </row>
    <row r="32" spans="1:6">
      <c r="A32" s="17"/>
      <c r="B32" s="2"/>
      <c r="C32" s="2"/>
      <c r="D32" s="2"/>
    </row>
    <row r="33" spans="1:3" ht="26">
      <c r="A33" s="17" t="s">
        <v>136</v>
      </c>
      <c r="C33" s="43">
        <f>D4/(D4+B19)</f>
        <v>0.15394524638214299</v>
      </c>
    </row>
  </sheetData>
  <sheetProtection selectLockedCells="1" selectUnlockedCells="1"/>
  <phoneticPr fontId="4" type="noConversion"/>
  <pageMargins left="0.7" right="0.7" top="0.75" bottom="0.75" header="0.3" footer="0.3"/>
  <pageSetup paperSize="9" orientation="portrait" horizontalDpi="0" verticalDpi="0"/>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dimension ref="A1:D26"/>
  <sheetViews>
    <sheetView zoomScale="140" zoomScaleNormal="140" zoomScalePageLayoutView="140" workbookViewId="0">
      <selection activeCell="D20" sqref="D20"/>
    </sheetView>
  </sheetViews>
  <sheetFormatPr baseColWidth="10" defaultColWidth="10.83203125" defaultRowHeight="12"/>
  <cols>
    <col min="1" max="1" width="39.1640625" style="1" customWidth="1"/>
    <col min="2" max="3" width="10.83203125" style="1"/>
    <col min="4" max="4" width="26.33203125" style="1" bestFit="1" customWidth="1"/>
    <col min="5" max="16384" width="10.83203125" style="1"/>
  </cols>
  <sheetData>
    <row r="1" spans="1:4">
      <c r="A1" s="10" t="s">
        <v>8</v>
      </c>
    </row>
    <row r="2" spans="1:4">
      <c r="B2" s="87" t="s">
        <v>104</v>
      </c>
      <c r="C2" s="87"/>
    </row>
    <row r="3" spans="1:4">
      <c r="B3" s="7" t="s">
        <v>9</v>
      </c>
      <c r="C3" s="7" t="s">
        <v>10</v>
      </c>
    </row>
    <row r="4" spans="1:4">
      <c r="A4" s="1" t="s">
        <v>11</v>
      </c>
      <c r="B4" s="2">
        <v>200</v>
      </c>
      <c r="C4" s="2"/>
    </row>
    <row r="5" spans="1:4">
      <c r="A5" s="1" t="s">
        <v>12</v>
      </c>
      <c r="B5" s="2">
        <v>175</v>
      </c>
      <c r="C5" s="2"/>
    </row>
    <row r="6" spans="1:4">
      <c r="A6" s="1" t="s">
        <v>62</v>
      </c>
      <c r="B6" s="2">
        <f>(1.09/2) *datavelden!B1</f>
        <v>109.00000000000001</v>
      </c>
      <c r="C6" s="2"/>
      <c r="D6" s="1" t="s">
        <v>48</v>
      </c>
    </row>
    <row r="7" spans="1:4">
      <c r="A7" s="1" t="s">
        <v>13</v>
      </c>
      <c r="B7" s="2">
        <v>150</v>
      </c>
      <c r="C7" s="2"/>
    </row>
    <row r="8" spans="1:4">
      <c r="A8" s="1" t="s">
        <v>134</v>
      </c>
      <c r="B8" s="2">
        <v>0</v>
      </c>
      <c r="C8" s="2"/>
    </row>
    <row r="9" spans="1:4">
      <c r="A9" s="1" t="s">
        <v>14</v>
      </c>
      <c r="B9" s="2">
        <v>160</v>
      </c>
      <c r="C9" s="2"/>
    </row>
    <row r="10" spans="1:4">
      <c r="A10" s="1" t="s">
        <v>15</v>
      </c>
      <c r="B10" s="2">
        <v>150</v>
      </c>
      <c r="C10" s="2"/>
      <c r="D10" s="35" t="s">
        <v>105</v>
      </c>
    </row>
    <row r="11" spans="1:4">
      <c r="A11" s="1" t="s">
        <v>135</v>
      </c>
      <c r="B11" s="2">
        <v>150</v>
      </c>
      <c r="C11" s="2"/>
      <c r="D11" s="35"/>
    </row>
    <row r="12" spans="1:4">
      <c r="A12" s="1" t="s">
        <v>46</v>
      </c>
      <c r="B12" s="2">
        <v>250</v>
      </c>
      <c r="C12" s="2"/>
    </row>
    <row r="13" spans="1:4">
      <c r="A13" s="1" t="s">
        <v>78</v>
      </c>
      <c r="B13" s="2">
        <f>datavelden!B22+datavelden!B25</f>
        <v>0</v>
      </c>
      <c r="C13" s="2"/>
    </row>
    <row r="14" spans="1:4">
      <c r="C14" s="2"/>
    </row>
    <row r="15" spans="1:4">
      <c r="B15" s="2"/>
      <c r="C15" s="2"/>
    </row>
    <row r="16" spans="1:4">
      <c r="A16" s="1" t="s">
        <v>71</v>
      </c>
      <c r="B16" s="2"/>
      <c r="C16" s="2">
        <f>(datavelden!B1*datavelden!B12*datavelden!B16)</f>
        <v>1863.7500000000002</v>
      </c>
    </row>
    <row r="17" spans="1:4">
      <c r="A17" s="32" t="s">
        <v>112</v>
      </c>
      <c r="B17" s="2"/>
      <c r="C17" s="2">
        <f>(datavelden!B5*datavelden!B20)</f>
        <v>0</v>
      </c>
      <c r="D17" s="42"/>
    </row>
    <row r="18" spans="1:4">
      <c r="B18" s="2"/>
      <c r="C18" s="2"/>
    </row>
    <row r="19" spans="1:4">
      <c r="A19" s="1" t="s">
        <v>27</v>
      </c>
      <c r="B19" s="6">
        <f>SUM(B4:B18)</f>
        <v>1344</v>
      </c>
      <c r="C19" s="6">
        <f>SUM(C4:C18)</f>
        <v>1863.7500000000002</v>
      </c>
    </row>
    <row r="20" spans="1:4">
      <c r="A20" s="1" t="s">
        <v>63</v>
      </c>
      <c r="B20" s="3">
        <f>(C19-B19)</f>
        <v>519.75000000000023</v>
      </c>
      <c r="C20" s="2"/>
    </row>
    <row r="21" spans="1:4" ht="26">
      <c r="A21" s="17" t="s">
        <v>128</v>
      </c>
      <c r="B21" s="2">
        <f>0%*B20</f>
        <v>0</v>
      </c>
      <c r="C21" s="2"/>
    </row>
    <row r="22" spans="1:4">
      <c r="A22" s="1" t="s">
        <v>4</v>
      </c>
      <c r="B22" s="6">
        <f>SUM(B19:B20)</f>
        <v>1863.7500000000002</v>
      </c>
      <c r="C22" s="6">
        <f>C19</f>
        <v>1863.7500000000002</v>
      </c>
    </row>
    <row r="23" spans="1:4">
      <c r="B23" s="2"/>
      <c r="C23" s="2"/>
    </row>
    <row r="24" spans="1:4">
      <c r="B24" s="2"/>
      <c r="C24" s="2"/>
    </row>
    <row r="25" spans="1:4">
      <c r="B25" s="2"/>
      <c r="C25" s="2"/>
    </row>
    <row r="26" spans="1:4">
      <c r="B26" s="2"/>
      <c r="C26" s="2"/>
    </row>
  </sheetData>
  <sheetProtection selectLockedCells="1" selectUnlockedCells="1"/>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dimension ref="A1:E13"/>
  <sheetViews>
    <sheetView zoomScale="140" zoomScaleNormal="140" zoomScalePageLayoutView="140" workbookViewId="0">
      <selection activeCell="C13" sqref="C13"/>
    </sheetView>
  </sheetViews>
  <sheetFormatPr baseColWidth="10" defaultColWidth="10.83203125" defaultRowHeight="12"/>
  <cols>
    <col min="1" max="1" width="35.83203125" style="1" bestFit="1" customWidth="1"/>
    <col min="2" max="4" width="10.83203125" style="1"/>
    <col min="5" max="5" width="32.33203125" style="1" bestFit="1" customWidth="1"/>
    <col min="6" max="16384" width="10.83203125" style="1"/>
  </cols>
  <sheetData>
    <row r="1" spans="1:5">
      <c r="A1" s="10" t="s">
        <v>32</v>
      </c>
    </row>
    <row r="2" spans="1:5">
      <c r="B2" s="8" t="s">
        <v>35</v>
      </c>
      <c r="C2" s="8" t="s">
        <v>34</v>
      </c>
    </row>
    <row r="3" spans="1:5">
      <c r="A3" s="1" t="s">
        <v>17</v>
      </c>
      <c r="B3" s="5"/>
      <c r="C3" s="5">
        <f>datavelden!B2</f>
        <v>250</v>
      </c>
    </row>
    <row r="4" spans="1:5">
      <c r="A4" s="1" t="s">
        <v>26</v>
      </c>
      <c r="B4" s="5"/>
      <c r="C4" s="5">
        <f>15*datavelden!B20</f>
        <v>0</v>
      </c>
    </row>
    <row r="5" spans="1:5">
      <c r="A5" s="1" t="s">
        <v>23</v>
      </c>
      <c r="B5" s="5">
        <f>5*(datavelden!B15*datavelden!B12)</f>
        <v>158.87443687499999</v>
      </c>
      <c r="C5" s="5"/>
      <c r="D5" s="28"/>
      <c r="E5" s="1" t="s">
        <v>103</v>
      </c>
    </row>
    <row r="6" spans="1:5">
      <c r="A6" s="1" t="s">
        <v>24</v>
      </c>
      <c r="B6" s="5">
        <f>5*(datavelden!B15*datavelden!B13)</f>
        <v>154.39910062499999</v>
      </c>
      <c r="C6" s="5"/>
      <c r="D6" s="28"/>
      <c r="E6" s="1" t="s">
        <v>103</v>
      </c>
    </row>
    <row r="7" spans="1:5">
      <c r="A7" s="1" t="s">
        <v>25</v>
      </c>
      <c r="B7" s="5">
        <f>5*(datavelden!B15*datavelden!B14)</f>
        <v>149.92376437499999</v>
      </c>
      <c r="C7" s="5"/>
      <c r="D7" s="28"/>
      <c r="E7" s="1" t="s">
        <v>103</v>
      </c>
    </row>
    <row r="8" spans="1:5">
      <c r="B8" s="5"/>
      <c r="C8" s="5"/>
    </row>
    <row r="9" spans="1:5">
      <c r="A9" s="1" t="s">
        <v>31</v>
      </c>
      <c r="B9" s="5">
        <f>(SUM(B3:B8))-SUM(C3:C6)</f>
        <v>213.19730187499999</v>
      </c>
      <c r="C9" s="5"/>
      <c r="D9" s="15"/>
    </row>
    <row r="10" spans="1:5">
      <c r="A10" s="1" t="s">
        <v>33</v>
      </c>
      <c r="B10" s="4">
        <f>(B9/(SUM(C3:C4)))/15</f>
        <v>5.6852613833333329E-2</v>
      </c>
      <c r="C10" s="33"/>
      <c r="D10" s="33"/>
    </row>
    <row r="11" spans="1:5">
      <c r="A11" s="1" t="s">
        <v>36</v>
      </c>
      <c r="B11" s="9">
        <f>(C3+C4)/((B5+B6+B7)/15)</f>
        <v>8.0959020806472406</v>
      </c>
    </row>
    <row r="13" spans="1:5">
      <c r="C13" s="28"/>
    </row>
  </sheetData>
  <sheetProtection selectLockedCells="1" selectUnlockedCells="1"/>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dimension ref="A1:D31"/>
  <sheetViews>
    <sheetView zoomScale="140" zoomScaleNormal="140" zoomScalePageLayoutView="140" workbookViewId="0">
      <selection activeCell="B13" sqref="B13"/>
    </sheetView>
  </sheetViews>
  <sheetFormatPr baseColWidth="10" defaultColWidth="10.83203125" defaultRowHeight="12"/>
  <cols>
    <col min="1" max="1" width="37.1640625" style="1" customWidth="1"/>
    <col min="2" max="2" width="10.83203125" style="1"/>
    <col min="3" max="3" width="39.1640625" style="38" bestFit="1" customWidth="1"/>
    <col min="4" max="4" width="29.6640625" style="1" customWidth="1"/>
    <col min="5" max="5" width="10.83203125" style="1"/>
    <col min="6" max="6" width="10.83203125" style="1" customWidth="1"/>
    <col min="7" max="16384" width="10.83203125" style="1"/>
  </cols>
  <sheetData>
    <row r="1" spans="1:4">
      <c r="A1" s="1" t="s">
        <v>28</v>
      </c>
      <c r="B1" s="1">
        <v>200</v>
      </c>
    </row>
    <row r="2" spans="1:4">
      <c r="A2" s="1" t="s">
        <v>131</v>
      </c>
      <c r="B2" s="12">
        <v>250</v>
      </c>
    </row>
    <row r="3" spans="1:4" ht="24">
      <c r="A3" s="1" t="s">
        <v>132</v>
      </c>
      <c r="B3" s="12">
        <f>(B11*B10)+(Investeringsbegroting!C7/datavelden!B1)+(Investeringsbegroting!C8/datavelden!B1)</f>
        <v>238.51955000000004</v>
      </c>
      <c r="C3" s="38" t="s">
        <v>130</v>
      </c>
    </row>
    <row r="4" spans="1:4">
      <c r="A4" s="1" t="s">
        <v>129</v>
      </c>
      <c r="B4" s="4">
        <f>(B2-B3)/B2</f>
        <v>4.5921799999999846E-2</v>
      </c>
    </row>
    <row r="5" spans="1:4">
      <c r="A5" s="1" t="s">
        <v>114</v>
      </c>
      <c r="B5" s="12">
        <v>20</v>
      </c>
      <c r="C5" s="38" t="s">
        <v>115</v>
      </c>
    </row>
    <row r="6" spans="1:4" ht="26">
      <c r="A6" s="17" t="s">
        <v>86</v>
      </c>
      <c r="B6" s="1">
        <v>0</v>
      </c>
      <c r="C6" s="39" t="s">
        <v>119</v>
      </c>
    </row>
    <row r="7" spans="1:4">
      <c r="A7" s="1" t="s">
        <v>65</v>
      </c>
      <c r="B7" s="1">
        <v>200</v>
      </c>
      <c r="C7" s="39"/>
    </row>
    <row r="8" spans="1:4">
      <c r="A8" s="1" t="s">
        <v>68</v>
      </c>
      <c r="B8" s="1">
        <v>0</v>
      </c>
      <c r="C8" s="39" t="s">
        <v>120</v>
      </c>
    </row>
    <row r="9" spans="1:4">
      <c r="A9" s="1" t="s">
        <v>69</v>
      </c>
      <c r="B9" s="12">
        <v>0</v>
      </c>
      <c r="C9" s="39" t="s">
        <v>121</v>
      </c>
    </row>
    <row r="10" spans="1:4">
      <c r="A10" s="1" t="s">
        <v>22</v>
      </c>
      <c r="B10" s="1">
        <v>300</v>
      </c>
      <c r="C10" s="39"/>
    </row>
    <row r="11" spans="1:4">
      <c r="A11" s="1" t="s">
        <v>58</v>
      </c>
      <c r="B11" s="12">
        <f>((43323)/200/300)</f>
        <v>0.72205000000000008</v>
      </c>
      <c r="C11" s="39"/>
    </row>
    <row r="12" spans="1:4">
      <c r="A12" s="1" t="s">
        <v>51</v>
      </c>
      <c r="B12" s="13">
        <f>(B10*((90+87.5)/2)%)</f>
        <v>266.25</v>
      </c>
      <c r="C12" s="39" t="s">
        <v>100</v>
      </c>
      <c r="D12" s="1" t="s">
        <v>50</v>
      </c>
    </row>
    <row r="13" spans="1:4">
      <c r="A13" s="1" t="s">
        <v>52</v>
      </c>
      <c r="B13" s="13">
        <f>(B10*((87.5+85)/2)%)</f>
        <v>258.75</v>
      </c>
      <c r="C13" s="39" t="s">
        <v>101</v>
      </c>
    </row>
    <row r="14" spans="1:4">
      <c r="A14" s="1" t="s">
        <v>53</v>
      </c>
      <c r="B14" s="13">
        <f>(B10*((85+82.5)/2)%)</f>
        <v>251.25</v>
      </c>
      <c r="C14" s="39" t="s">
        <v>102</v>
      </c>
    </row>
    <row r="15" spans="1:4">
      <c r="A15" s="1" t="s">
        <v>20</v>
      </c>
      <c r="B15" s="30">
        <f>0.09863+(0.09863*21%)</f>
        <v>0.1193423</v>
      </c>
      <c r="C15" s="39" t="s">
        <v>142</v>
      </c>
      <c r="D15" s="29">
        <f>0.10458+(0.10458*21%)</f>
        <v>0.12654180000000001</v>
      </c>
    </row>
    <row r="16" spans="1:4">
      <c r="A16" s="1" t="s">
        <v>21</v>
      </c>
      <c r="B16" s="1">
        <v>3.5000000000000003E-2</v>
      </c>
      <c r="C16" s="39"/>
    </row>
    <row r="17" spans="1:4">
      <c r="A17" s="32" t="s">
        <v>124</v>
      </c>
      <c r="B17" s="12">
        <v>0</v>
      </c>
      <c r="C17" s="39"/>
      <c r="D17" s="1" t="s">
        <v>38</v>
      </c>
    </row>
    <row r="18" spans="1:4">
      <c r="A18" s="32" t="s">
        <v>125</v>
      </c>
      <c r="B18" s="12">
        <f>B19</f>
        <v>0</v>
      </c>
      <c r="C18" s="39"/>
    </row>
    <row r="19" spans="1:4" ht="24">
      <c r="A19" s="32" t="s">
        <v>126</v>
      </c>
      <c r="B19" s="14">
        <v>0</v>
      </c>
      <c r="C19" s="39" t="s">
        <v>106</v>
      </c>
      <c r="D19" s="1" t="s">
        <v>57</v>
      </c>
    </row>
    <row r="20" spans="1:4">
      <c r="A20" s="1" t="s">
        <v>111</v>
      </c>
      <c r="B20" s="31">
        <v>0</v>
      </c>
      <c r="C20" s="39" t="s">
        <v>113</v>
      </c>
    </row>
    <row r="21" spans="1:4">
      <c r="A21" s="1" t="s">
        <v>55</v>
      </c>
      <c r="B21" s="12">
        <f>(B2-B9)*0%</f>
        <v>0</v>
      </c>
      <c r="C21" s="39"/>
    </row>
    <row r="22" spans="1:4">
      <c r="A22" s="1" t="s">
        <v>66</v>
      </c>
      <c r="B22" s="12">
        <f>Investeringsbegroting!B18*0%</f>
        <v>0</v>
      </c>
      <c r="C22" s="39"/>
    </row>
    <row r="23" spans="1:4" ht="36">
      <c r="A23" s="1" t="s">
        <v>80</v>
      </c>
      <c r="B23" s="12">
        <f>(Investeringsbegroting!D22*0%)*4/12</f>
        <v>0</v>
      </c>
      <c r="C23" s="39" t="s">
        <v>122</v>
      </c>
    </row>
    <row r="24" spans="1:4">
      <c r="A24" s="1" t="s">
        <v>67</v>
      </c>
      <c r="B24" s="12">
        <v>0</v>
      </c>
      <c r="C24" s="39" t="s">
        <v>123</v>
      </c>
      <c r="D24" s="1" t="s">
        <v>38</v>
      </c>
    </row>
    <row r="25" spans="1:4">
      <c r="A25" s="1" t="s">
        <v>60</v>
      </c>
      <c r="B25" s="12">
        <f>B8*B24</f>
        <v>0</v>
      </c>
      <c r="D25" s="1" t="s">
        <v>39</v>
      </c>
    </row>
    <row r="27" spans="1:4">
      <c r="A27" s="10" t="s">
        <v>61</v>
      </c>
      <c r="B27" s="10"/>
    </row>
    <row r="28" spans="1:4">
      <c r="A28" s="10" t="s">
        <v>47</v>
      </c>
      <c r="B28" s="11">
        <f>((B1*B10)/230)/3</f>
        <v>86.956521739130437</v>
      </c>
      <c r="C28" s="39" t="s">
        <v>143</v>
      </c>
    </row>
    <row r="30" spans="1:4" ht="24" customHeight="1">
      <c r="A30" s="88" t="s">
        <v>64</v>
      </c>
      <c r="C30" s="40">
        <f>(((37.01*15)-30-368)/(3.68+0.3))/15</f>
        <v>2.6323283082077049</v>
      </c>
      <c r="D30" s="32" t="s">
        <v>96</v>
      </c>
    </row>
    <row r="31" spans="1:4">
      <c r="A31" s="88"/>
      <c r="C31" s="40">
        <f>(((37.01*15)-256-184)/(2.56+1.84))/15</f>
        <v>1.7446969696969694</v>
      </c>
      <c r="D31" s="24" t="s">
        <v>97</v>
      </c>
    </row>
  </sheetData>
  <sheetProtection selectLockedCells="1"/>
  <mergeCells count="1">
    <mergeCell ref="A30:A31"/>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
  <sheetViews>
    <sheetView workbookViewId="0">
      <selection activeCell="H12" sqref="H12"/>
    </sheetView>
  </sheetViews>
  <sheetFormatPr baseColWidth="10" defaultColWidth="11" defaultRowHeight="16"/>
  <cols>
    <col min="1" max="1" width="15.83203125" customWidth="1"/>
    <col min="2" max="2" width="16.1640625" style="23" customWidth="1"/>
    <col min="3" max="3" width="13.33203125" style="18" customWidth="1"/>
    <col min="4" max="4" width="13.83203125" style="18" customWidth="1"/>
    <col min="5" max="5" width="15.83203125" style="18" customWidth="1"/>
    <col min="6" max="6" width="21.6640625" customWidth="1"/>
  </cols>
  <sheetData>
    <row r="1" spans="1:8" s="19" customFormat="1" ht="34">
      <c r="A1" s="20" t="s">
        <v>90</v>
      </c>
      <c r="B1" s="22" t="s">
        <v>91</v>
      </c>
      <c r="C1" s="21" t="s">
        <v>92</v>
      </c>
      <c r="D1" s="21" t="s">
        <v>74</v>
      </c>
      <c r="E1" s="21" t="s">
        <v>95</v>
      </c>
      <c r="F1" s="20" t="s">
        <v>93</v>
      </c>
      <c r="G1" s="26" t="s">
        <v>98</v>
      </c>
    </row>
    <row r="2" spans="1:8">
      <c r="A2" t="s">
        <v>89</v>
      </c>
      <c r="B2" s="23">
        <v>43070</v>
      </c>
      <c r="C2" s="18">
        <v>2376.6999999999998</v>
      </c>
      <c r="D2" s="18">
        <v>49.71</v>
      </c>
      <c r="E2" s="18">
        <v>286.41000000000003</v>
      </c>
      <c r="G2" s="25">
        <f>D2/C2</f>
        <v>2.0915555181554257E-2</v>
      </c>
      <c r="H2" s="27" t="s">
        <v>99</v>
      </c>
    </row>
    <row r="3" spans="1:8">
      <c r="A3" t="s">
        <v>87</v>
      </c>
      <c r="B3" s="23">
        <v>43091</v>
      </c>
      <c r="C3" s="18">
        <f>E3-D3</f>
        <v>263.45999999999998</v>
      </c>
      <c r="D3" s="18">
        <v>26.54</v>
      </c>
      <c r="E3" s="18">
        <v>290</v>
      </c>
      <c r="G3" s="25">
        <f t="shared" ref="G3:G4" si="0">D3/C3</f>
        <v>0.10073635466484476</v>
      </c>
      <c r="H3" s="27" t="s">
        <v>99</v>
      </c>
    </row>
    <row r="4" spans="1:8">
      <c r="A4" t="s">
        <v>88</v>
      </c>
      <c r="B4" s="23">
        <v>43181</v>
      </c>
      <c r="C4" s="18">
        <v>1250</v>
      </c>
      <c r="D4" s="18">
        <f>50%*525</f>
        <v>262.5</v>
      </c>
      <c r="E4" s="18">
        <f>C4+D4</f>
        <v>1512.5</v>
      </c>
      <c r="F4" t="s">
        <v>94</v>
      </c>
      <c r="G4" s="25">
        <f t="shared" si="0"/>
        <v>0.21</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Werkbladen</vt:lpstr>
      </vt:variant>
      <vt:variant>
        <vt:i4>7</vt:i4>
      </vt:variant>
      <vt:variant>
        <vt:lpstr>Benoemde bereiken</vt:lpstr>
      </vt:variant>
      <vt:variant>
        <vt:i4>1</vt:i4>
      </vt:variant>
    </vt:vector>
  </HeadingPairs>
  <TitlesOfParts>
    <vt:vector size="8" baseType="lpstr">
      <vt:lpstr>Klantkeuze</vt:lpstr>
      <vt:lpstr>Aanmeldformulier</vt:lpstr>
      <vt:lpstr>Investeringsbegroting</vt:lpstr>
      <vt:lpstr>Exploitatiebegroting</vt:lpstr>
      <vt:lpstr>Perspectief leden</vt:lpstr>
      <vt:lpstr>datavelden</vt:lpstr>
      <vt:lpstr>Uitgaven</vt:lpstr>
      <vt:lpstr>Aanmeldformulier!Afdrukbereik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Roel P. Fleurke</cp:lastModifiedBy>
  <cp:lastPrinted>2019-01-13T12:45:50Z</cp:lastPrinted>
  <dcterms:created xsi:type="dcterms:W3CDTF">2017-05-14T17:57:40Z</dcterms:created>
  <dcterms:modified xsi:type="dcterms:W3CDTF">2019-02-13T09:11:18Z</dcterms:modified>
</cp:coreProperties>
</file>